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1" autoFilterDateGrouping="1"/>
  </bookViews>
  <sheets>
    <sheet name="Accueil" sheetId="1" state="visible" r:id="rId1"/>
    <sheet name="Synthèse" sheetId="2" state="visible" r:id="rId2"/>
    <sheet name="Paramètres" sheetId="3" state="visible" r:id="rId3"/>
    <sheet name="Projection" sheetId="4" state="visible" r:id="rId4"/>
    <sheet name="Amortissement" sheetId="5" state="visible" r:id="rId5"/>
    <sheet name="Fiscalité" sheetId="6" state="visible" r:id="rId6"/>
    <sheet name="Plus-value" sheetId="7" state="visible" r:id="rId7"/>
    <sheet name="Barèmes" sheetId="8" state="visible" r:id="rId8"/>
    <sheet name="Glossaire" sheetId="9" state="visible" r:id="rId9"/>
  </sheets>
  <definedNames>
    <definedName name="prix_bien">'Paramètres'!$C$5</definedName>
    <definedName name="surface">'Paramètres'!$C$6</definedName>
    <definedName name="loyer_hc">'Paramètres'!$C$7</definedName>
    <definedName name="charges_recup">'Paramètres'!$C$8</definedName>
    <definedName name="type_bien">'Paramètres'!$C$9</definedName>
    <definedName name="notaire_pct">'Paramètres'!$C$11</definedName>
    <definedName name="notaire_saisi">'Paramètres'!$C$12</definedName>
    <definedName name="travaux">'Paramètres'!$C$13</definedName>
    <definedName name="meubles">'Paramètres'!$C$14</definedName>
    <definedName name="frais_agence">'Paramètres'!$C$15</definedName>
    <definedName name="frais_bancaires">'Paramètres'!$C$16</definedName>
    <definedName name="frais_garantie">'Paramètres'!$C$17</definedName>
    <definedName name="apport">'Paramètres'!$C$19</definedName>
    <definedName name="taux_credit">'Paramètres'!$C$20</definedName>
    <definedName name="duree_credit">'Paramètres'!$C$21</definedName>
    <definedName name="taux_assurance">'Paramètres'!$C$22</definedName>
    <definedName name="taxe_fonciere">'Paramètres'!$C$24</definedName>
    <definedName name="assurance_pno">'Paramètres'!$C$25</definedName>
    <definedName name="gli_pct">'Paramètres'!$C$26</definedName>
    <definedName name="gestion_pct">'Paramètres'!$C$27</definedName>
    <definedName name="charges_copro">'Paramètres'!$C$28</definedName>
    <definedName name="comptabilite">'Paramètres'!$C$29</definedName>
    <definedName name="cfe">'Paramètres'!$C$30</definedName>
    <definedName name="entretien_pct">'Paramètres'!$C$31</definedName>
    <definedName name="vacance_pct">'Paramètres'!$C$32</definedName>
    <definedName name="impayes_pct">'Paramètres'!$C$33</definedName>
    <definedName name="reval_loyer">'Paramètres'!$C$35</definedName>
    <definedName name="reval_charges">'Paramètres'!$C$36</definedName>
    <definedName name="reval_bien">'Paramètres'!$C$37</definedName>
    <definedName name="horizon">'Paramètres'!$C$38</definedName>
    <definedName name="frais_revente_pct">'Paramètres'!$C$39</definedName>
    <definedName name="regime_proj">'Paramètres'!$C$41</definedName>
    <definedName name="tmi">'Paramètres'!$C$42</definedName>
    <definedName name="ps_pct">'Paramètres'!$C$43</definedName>
    <definedName name="terrain_pct">'Paramètres'!$C$45</definedName>
    <definedName name="duree_bati">'Paramètres'!$C$46</definedName>
    <definedName name="duree_meubles">'Paramètres'!$C$47</definedName>
    <definedName name="duree_travaux_amort">'Paramètres'!$C$48</definedName>
    <definedName name="frais_notaire">'Paramètres'!$C$50</definedName>
    <definedName name="cout_acquisition">'Paramètres'!$C$51</definedName>
    <definedName name="montant_emprunte">'Paramètres'!$C$52</definedName>
    <definedName name="mensualite_ha">'Paramètres'!$C$53</definedName>
    <definedName name="assurance_mens">'Paramètres'!$C$54</definedName>
    <definedName name="mensualite_tot">'Paramètres'!$C$55</definedName>
    <definedName name="impot_plus_value">'Plus-value'!$B$28</definedName>
    <definedName name="plus_value_brute">'Plus-value'!$B$5</definedName>
    <definedName name="rdt_brut">'Synthèse'!$C$13</definedName>
    <definedName name="rdt_net">'Synthèse'!$C$14</definedName>
    <definedName name="rdt_netnet">'Synthèse'!$C$15</definedName>
    <definedName name="cf_avant">'Synthèse'!$C$18</definedName>
    <definedName name="cf_apres">'Synthèse'!$C$19</definedName>
    <definedName name="produit_net_revente">'Synthèse'!$F$11</definedName>
    <definedName name="tri_projet">'Synthèse'!$F$16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 &quot;€&quot;"/>
    <numFmt numFmtId="165" formatCode="0.0%"/>
  </numFmts>
  <fonts count="2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FFFFFF"/>
      <sz val="10"/>
    </font>
    <font>
      <name val="Calibri"/>
      <b val="1"/>
      <color rgb="00E36414"/>
      <sz val="12"/>
    </font>
    <font>
      <name val="Calibri"/>
      <color rgb="00000000"/>
      <sz val="11"/>
    </font>
    <font>
      <name val="Calibri"/>
      <i val="1"/>
      <color rgb="00808080"/>
      <sz val="9"/>
    </font>
    <font>
      <name val="Calibri"/>
      <b val="1"/>
      <color rgb="000F4C5C"/>
      <sz val="12"/>
    </font>
    <font>
      <name val="Calibri"/>
      <b val="1"/>
      <color rgb="00000000"/>
      <sz val="11"/>
    </font>
    <font>
      <name val="Calibri"/>
      <b val="1"/>
      <color rgb="00FFFFFF"/>
      <sz val="10"/>
    </font>
    <font>
      <name val="Calibri"/>
      <color rgb="00000000"/>
      <sz val="9"/>
    </font>
    <font>
      <name val="Calibri"/>
      <b val="1"/>
      <color rgb="00FFFFFF"/>
      <sz val="9"/>
    </font>
    <font>
      <name val="Calibri"/>
      <b val="1"/>
      <color rgb="00808080"/>
      <sz val="8"/>
    </font>
    <font>
      <name val="Calibri"/>
      <color rgb="00808080"/>
      <sz val="8"/>
    </font>
    <font>
      <name val="Calibri"/>
      <color rgb="00000000"/>
      <sz val="10"/>
    </font>
    <font>
      <name val="Calibri"/>
      <b val="1"/>
      <color rgb="00000000"/>
      <sz val="10"/>
    </font>
    <font>
      <name val="Calibri"/>
      <b val="1"/>
      <color rgb="000F4C5C"/>
      <sz val="11"/>
    </font>
    <font>
      <name val="Calibri"/>
      <b val="1"/>
      <color rgb="000F4C5C"/>
      <sz val="13"/>
    </font>
    <font>
      <name val="Calibri"/>
      <b val="1"/>
      <color rgb="00000000"/>
      <sz val="12"/>
    </font>
    <font>
      <name val="Calibri"/>
      <b val="1"/>
      <color rgb="00E36414"/>
      <sz val="14"/>
    </font>
    <font>
      <name val="Calibri"/>
      <b val="1"/>
      <color rgb="00808080"/>
      <sz val="10"/>
    </font>
    <font>
      <name val="Calibri"/>
      <color rgb="00808080"/>
      <sz val="9"/>
    </font>
  </fonts>
  <fills count="11">
    <fill>
      <patternFill/>
    </fill>
    <fill>
      <patternFill patternType="gray125"/>
    </fill>
    <fill>
      <patternFill patternType="solid">
        <fgColor rgb="000F4C5C"/>
      </patternFill>
    </fill>
    <fill>
      <patternFill patternType="solid">
        <fgColor rgb="0013697F"/>
      </patternFill>
    </fill>
    <fill>
      <patternFill patternType="solid">
        <fgColor rgb="00DDEBF7"/>
      </patternFill>
    </fill>
    <fill>
      <patternFill patternType="solid">
        <fgColor rgb="00F2F2F2"/>
      </patternFill>
    </fill>
    <fill>
      <patternFill patternType="solid">
        <fgColor rgb="00FFF3E0"/>
      </patternFill>
    </fill>
    <fill>
      <patternFill patternType="solid">
        <fgColor rgb="00C6EFCE"/>
      </patternFill>
    </fill>
    <fill>
      <patternFill patternType="solid">
        <fgColor rgb="00FFC7CE"/>
      </patternFill>
    </fill>
    <fill>
      <patternFill patternType="solid">
        <fgColor rgb="00E8EEF1"/>
      </patternFill>
    </fill>
    <fill>
      <patternFill patternType="solid">
        <fgColor rgb="00FAFAFA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65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indent="1"/>
    </xf>
    <xf numFmtId="0" fontId="3" fillId="0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left" vertical="top" wrapText="1"/>
    </xf>
    <xf numFmtId="0" fontId="0" fillId="4" borderId="1" pivotButton="0" quotePrefix="0" xfId="0"/>
    <xf numFmtId="0" fontId="4" fillId="0" borderId="0" applyAlignment="1" pivotButton="0" quotePrefix="0" xfId="0">
      <alignment horizontal="left" vertical="center" wrapText="1"/>
    </xf>
    <xf numFmtId="0" fontId="0" fillId="5" borderId="1" pivotButton="0" quotePrefix="0" xfId="0"/>
    <xf numFmtId="0" fontId="0" fillId="6" borderId="1" pivotButton="0" quotePrefix="0" xfId="0"/>
    <xf numFmtId="0" fontId="0" fillId="7" borderId="1" pivotButton="0" quotePrefix="0" xfId="0"/>
    <xf numFmtId="0" fontId="0" fillId="8" borderId="1" pivotButton="0" quotePrefix="0" xfId="0"/>
    <xf numFmtId="0" fontId="5" fillId="0" borderId="0" applyAlignment="1" pivotButton="0" quotePrefix="0" xfId="0">
      <alignment horizontal="left" vertical="top" wrapText="1"/>
    </xf>
    <xf numFmtId="0" fontId="6" fillId="9" borderId="0" applyAlignment="1" pivotButton="0" quotePrefix="0" xfId="0">
      <alignment horizontal="left" vertical="center" indent="1"/>
    </xf>
    <xf numFmtId="164" fontId="15" fillId="6" borderId="1" applyAlignment="1" pivotButton="0" quotePrefix="0" xfId="0">
      <alignment horizontal="right" vertical="center"/>
    </xf>
    <xf numFmtId="164" fontId="15" fillId="6" borderId="1" pivotButton="0" quotePrefix="0" xfId="0"/>
    <xf numFmtId="164" fontId="7" fillId="5" borderId="1" pivotButton="0" quotePrefix="0" xfId="0"/>
    <xf numFmtId="164" fontId="0" fillId="5" borderId="1" pivotButton="0" quotePrefix="0" xfId="0"/>
    <xf numFmtId="0" fontId="7" fillId="0" borderId="0" applyAlignment="1" pivotButton="0" quotePrefix="0" xfId="0">
      <alignment horizontal="left" vertical="center" wrapText="1"/>
    </xf>
    <xf numFmtId="164" fontId="3" fillId="6" borderId="1" pivotButton="0" quotePrefix="0" xfId="0"/>
    <xf numFmtId="165" fontId="16" fillId="6" borderId="1" applyAlignment="1" pivotButton="0" quotePrefix="0" xfId="0">
      <alignment horizontal="right" vertical="center"/>
    </xf>
    <xf numFmtId="0" fontId="17" fillId="0" borderId="0" applyAlignment="1" pivotButton="0" quotePrefix="0" xfId="0">
      <alignment horizontal="left" vertical="center" wrapText="1"/>
    </xf>
    <xf numFmtId="165" fontId="18" fillId="6" borderId="1" pivotButton="0" quotePrefix="0" xfId="0"/>
    <xf numFmtId="164" fontId="16" fillId="6" borderId="1" applyAlignment="1" pivotButton="0" quotePrefix="0" xfId="0">
      <alignment horizontal="right" vertical="center"/>
    </xf>
    <xf numFmtId="0" fontId="7" fillId="5" borderId="1" applyAlignment="1" pivotButton="0" quotePrefix="0" xfId="0">
      <alignment horizontal="left" vertical="center" wrapText="1"/>
    </xf>
    <xf numFmtId="0" fontId="19" fillId="0" borderId="0" pivotButton="0" quotePrefix="0" xfId="0"/>
    <xf numFmtId="0" fontId="20" fillId="0" borderId="0" pivotButton="0" quotePrefix="0" xfId="0"/>
    <xf numFmtId="164" fontId="20" fillId="0" borderId="0" pivotButton="0" quotePrefix="0" xfId="0"/>
    <xf numFmtId="164" fontId="4" fillId="4" borderId="1" applyAlignment="1" pivotButton="0" quotePrefix="0" xfId="0">
      <alignment horizontal="right" vertical="center"/>
    </xf>
    <xf numFmtId="3" fontId="4" fillId="4" borderId="1" applyAlignment="1" pivotButton="0" quotePrefix="0" xfId="0">
      <alignment horizontal="right" vertical="center"/>
    </xf>
    <xf numFmtId="0" fontId="5" fillId="0" borderId="0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right" vertical="center"/>
    </xf>
    <xf numFmtId="165" fontId="7" fillId="5" borderId="1" applyAlignment="1" pivotButton="0" quotePrefix="0" xfId="0">
      <alignment horizontal="right" vertical="center"/>
    </xf>
    <xf numFmtId="10" fontId="4" fillId="4" borderId="1" applyAlignment="1" pivotButton="0" quotePrefix="0" xfId="0">
      <alignment horizontal="right" vertical="center"/>
    </xf>
    <xf numFmtId="165" fontId="4" fillId="4" borderId="1" applyAlignment="1" pivotButton="0" quotePrefix="0" xfId="0">
      <alignment horizontal="right" vertical="center"/>
    </xf>
    <xf numFmtId="164" fontId="7" fillId="5" borderId="1" applyAlignment="1" pivotButton="0" quotePrefix="0" xfId="0">
      <alignment horizontal="right" vertical="center"/>
    </xf>
    <xf numFmtId="0" fontId="10" fillId="3" borderId="1" applyAlignment="1" pivotButton="0" quotePrefix="0" xfId="0">
      <alignment horizontal="center" vertical="center" wrapText="1"/>
    </xf>
    <xf numFmtId="0" fontId="11" fillId="0" borderId="0" applyAlignment="1" pivotButton="0" quotePrefix="0" xfId="0">
      <alignment horizontal="center" vertical="center" wrapText="1"/>
    </xf>
    <xf numFmtId="0" fontId="9" fillId="0" borderId="1" pivotButton="0" quotePrefix="0" xfId="0"/>
    <xf numFmtId="164" fontId="9" fillId="0" borderId="1" pivotButton="0" quotePrefix="0" xfId="0"/>
    <xf numFmtId="164" fontId="12" fillId="0" borderId="0" pivotButton="0" quotePrefix="0" xfId="0"/>
    <xf numFmtId="0" fontId="9" fillId="10" borderId="1" pivotButton="0" quotePrefix="0" xfId="0"/>
    <xf numFmtId="164" fontId="9" fillId="10" borderId="1" pivotButton="0" quotePrefix="0" xfId="0"/>
    <xf numFmtId="0" fontId="8" fillId="3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164" fontId="4" fillId="5" borderId="1" pivotButton="0" quotePrefix="0" xfId="0"/>
    <xf numFmtId="0" fontId="6" fillId="0" borderId="0" pivotButton="0" quotePrefix="0" xfId="0"/>
    <xf numFmtId="0" fontId="3" fillId="0" borderId="0" applyAlignment="1" pivotButton="0" quotePrefix="0" xfId="0">
      <alignment horizontal="left" vertical="center" wrapText="1"/>
    </xf>
    <xf numFmtId="0" fontId="4" fillId="0" borderId="0" pivotButton="0" quotePrefix="0" xfId="0"/>
    <xf numFmtId="164" fontId="7" fillId="5" borderId="0" pivotButton="0" quotePrefix="0" xfId="0"/>
    <xf numFmtId="0" fontId="5" fillId="0" borderId="0" pivotButton="0" quotePrefix="0" xfId="0"/>
    <xf numFmtId="0" fontId="7" fillId="0" borderId="0" pivotButton="0" quotePrefix="0" xfId="0"/>
    <xf numFmtId="164" fontId="7" fillId="6" borderId="0" pivotButton="0" quotePrefix="0" xfId="0"/>
    <xf numFmtId="0" fontId="13" fillId="0" borderId="0" applyAlignment="1" pivotButton="0" quotePrefix="0" xfId="0">
      <alignment horizontal="left" vertical="center" wrapText="1"/>
    </xf>
    <xf numFmtId="165" fontId="9" fillId="0" borderId="1" pivotButton="0" quotePrefix="0" xfId="0"/>
    <xf numFmtId="0" fontId="14" fillId="0" borderId="0" applyAlignment="1" pivotButton="0" quotePrefix="0" xfId="0">
      <alignment horizontal="left" vertical="center" wrapText="1"/>
    </xf>
    <xf numFmtId="164" fontId="9" fillId="6" borderId="1" pivotButton="0" quotePrefix="0" xfId="0"/>
    <xf numFmtId="0" fontId="15" fillId="0" borderId="0" pivotButton="0" quotePrefix="0" xfId="0"/>
    <xf numFmtId="164" fontId="3" fillId="6" borderId="0" pivotButton="0" quotePrefix="0" xfId="0"/>
    <xf numFmtId="0" fontId="8" fillId="3" borderId="0" pivotButton="0" quotePrefix="0" xfId="0"/>
    <xf numFmtId="164" fontId="13" fillId="0" borderId="1" pivotButton="0" quotePrefix="0" xfId="0"/>
    <xf numFmtId="165" fontId="13" fillId="0" borderId="1" pivotButton="0" quotePrefix="0" xfId="0"/>
    <xf numFmtId="0" fontId="13" fillId="0" borderId="1" pivotButton="0" quotePrefix="0" xfId="0"/>
    <xf numFmtId="0" fontId="14" fillId="0" borderId="0" pivotButton="0" quotePrefix="0" xfId="0"/>
    <xf numFmtId="0" fontId="15" fillId="0" borderId="0" applyAlignment="1" pivotButton="0" quotePrefix="0" xfId="0">
      <alignment horizontal="left" vertical="top" wrapText="1"/>
    </xf>
    <xf numFmtId="0" fontId="13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dxfs count="3">
    <dxf>
      <font>
        <name val="Calibri"/>
        <b val="1"/>
        <color rgb="00006100"/>
        <sz val="13"/>
      </font>
      <fill>
        <patternFill patternType="solid">
          <fgColor rgb="00C6EFCE"/>
        </patternFill>
      </fill>
    </dxf>
    <dxf>
      <font>
        <name val="Calibri"/>
        <b val="1"/>
        <color rgb="009C0006"/>
        <sz val="13"/>
      </font>
      <fill>
        <patternFill patternType="solid">
          <fgColor rgb="00FFC7CE"/>
        </patternFill>
      </fill>
    </dxf>
    <dxf>
      <font>
        <name val="Calibri"/>
        <b val="1"/>
        <color rgb="00006100"/>
        <sz val="11"/>
      </font>
      <fill>
        <patternFill patternType="solid">
          <fgColor rgb="00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styles" Target="styles.xml" Id="rId10" /><Relationship Type="http://schemas.openxmlformats.org/officeDocument/2006/relationships/theme" Target="theme/theme1.xml" Id="rId11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E25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4" customWidth="1" min="2" max="2"/>
    <col width="58" customWidth="1" min="3" max="3"/>
    <col width="20" customWidth="1" min="4" max="4"/>
    <col width="18" customWidth="1" min="5" max="5"/>
  </cols>
  <sheetData>
    <row r="2" ht="30" customHeight="1">
      <c r="A2" s="1" t="inlineStr">
        <is>
          <t xml:space="preserve">  Calculateur de rentabilité locative — complet</t>
        </is>
      </c>
    </row>
    <row r="3" ht="18" customHeight="1">
      <c r="A3" s="2" t="inlineStr">
        <is>
          <t>Modèle d'analyse pour investisseur immobilier  •  rendement, cash-flow, fiscalité, plus-value, TRI</t>
        </is>
      </c>
    </row>
    <row r="5">
      <c r="B5" s="3" t="inlineStr">
        <is>
          <t>Comment l'utiliser</t>
        </is>
      </c>
    </row>
    <row r="6">
      <c r="B6" s="4" t="inlineStr">
        <is>
          <t>1.  Renseignez uniquement les cases bleues de l'onglet « Paramètres ». Tout le reste se calcule seul.</t>
        </is>
      </c>
    </row>
    <row r="7">
      <c r="B7" s="4" t="inlineStr">
        <is>
          <t>2.  Lisez l'onglet « Synthèse » : il résume les indicateurs clés et donne un verdict.</t>
        </is>
      </c>
    </row>
    <row r="8">
      <c r="B8" s="4" t="inlineStr">
        <is>
          <t>3.  Explorez les onglets détaillés : financement, projection annuelle, fiscalité, plus-value.</t>
        </is>
      </c>
    </row>
    <row r="9">
      <c r="B9" s="4" t="inlineStr"/>
    </row>
    <row r="10">
      <c r="B10" s="3" t="inlineStr">
        <is>
          <t>Ce que ce modèle calcule</t>
        </is>
      </c>
    </row>
    <row r="11" ht="16" customHeight="1">
      <c r="B11" s="4" t="inlineStr">
        <is>
          <t>•  Rendement brut, net de charges et net-net (après impôts) — les 3 niveaux de rentabilité.</t>
        </is>
      </c>
    </row>
    <row r="12" ht="16" customHeight="1">
      <c r="B12" s="4" t="inlineStr">
        <is>
          <t>•  Cash-flow mensuel avant et après impôt, et effort d'épargne réel.</t>
        </is>
      </c>
    </row>
    <row r="13" ht="16" customHeight="1">
      <c r="B13" s="4" t="inlineStr">
        <is>
          <t>•  Tableau d'amortissement du prêt mois par mois et projection annuelle sur 30 ans.</t>
        </is>
      </c>
    </row>
    <row r="14" ht="16" customHeight="1">
      <c r="B14" s="4" t="inlineStr">
        <is>
          <t>•  Comparatif des 4 régimes fiscaux : micro-foncier, réel foncier, micro-BIC, LMNP au réel (amortissement).</t>
        </is>
      </c>
    </row>
    <row r="15" ht="16" customHeight="1">
      <c r="B15" s="4" t="inlineStr">
        <is>
          <t>•  Imposition de la plus-value à la revente selon la durée de détention.</t>
        </is>
      </c>
    </row>
    <row r="16" ht="16" customHeight="1">
      <c r="B16" s="4" t="inlineStr">
        <is>
          <t>•  TRI (taux de rendement interne) intégrant apport, flux annuels et revente.</t>
        </is>
      </c>
    </row>
    <row r="17">
      <c r="B17" s="4" t="inlineStr"/>
    </row>
    <row r="18">
      <c r="B18" s="3" t="inlineStr">
        <is>
          <t>Légende des couleurs</t>
        </is>
      </c>
    </row>
    <row r="19">
      <c r="B19" s="5" t="n"/>
      <c r="C19" s="6" t="inlineStr">
        <is>
          <t>Case à remplir (saisie utilisateur)</t>
        </is>
      </c>
    </row>
    <row r="20">
      <c r="B20" s="7" t="n"/>
      <c r="C20" s="6" t="inlineStr">
        <is>
          <t>Cellule calculée automatiquement</t>
        </is>
      </c>
    </row>
    <row r="21">
      <c r="B21" s="8" t="n"/>
      <c r="C21" s="6" t="inlineStr">
        <is>
          <t>Indicateur clé</t>
        </is>
      </c>
    </row>
    <row r="22">
      <c r="B22" s="9" t="n"/>
      <c r="C22" s="6" t="inlineStr">
        <is>
          <t>Favorable</t>
        </is>
      </c>
    </row>
    <row r="23">
      <c r="B23" s="10" t="n"/>
      <c r="C23" s="6" t="inlineStr">
        <is>
          <t>Point de vigilance</t>
        </is>
      </c>
    </row>
    <row r="25" ht="48" customHeight="1">
      <c r="B25" s="11" t="inlineStr">
        <is>
          <t>Avertissement : modèle d'aide à la décision. Les règles fiscales (barème IR, abattements, prélèvements sociaux) sont paramétrables dans l'onglet « Barèmes » et doivent être vérifiées au moment de l'investissement. Ne se substitue pas à un conseil d'expert-comptable ou de notaire.</t>
        </is>
      </c>
    </row>
  </sheetData>
  <mergeCells count="17">
    <mergeCell ref="B17:E17"/>
    <mergeCell ref="B9:E9"/>
    <mergeCell ref="B18:E18"/>
    <mergeCell ref="B8:E8"/>
    <mergeCell ref="A2:E2"/>
    <mergeCell ref="B12:E12"/>
    <mergeCell ref="B13:E13"/>
    <mergeCell ref="B6:E6"/>
    <mergeCell ref="B16:E16"/>
    <mergeCell ref="B15:E15"/>
    <mergeCell ref="B7:E7"/>
    <mergeCell ref="B11:E11"/>
    <mergeCell ref="B25:E25"/>
    <mergeCell ref="B5:E5"/>
    <mergeCell ref="B10:E10"/>
    <mergeCell ref="B14:E14"/>
    <mergeCell ref="A3:E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F6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2" customWidth="1" min="2" max="2"/>
    <col width="18" customWidth="1" min="3" max="3"/>
    <col width="4" customWidth="1" min="4" max="4"/>
    <col width="42" customWidth="1" min="5" max="5"/>
    <col width="18" customWidth="1" min="6" max="6"/>
  </cols>
  <sheetData>
    <row r="2" ht="30" customHeight="1">
      <c r="A2" s="1" t="inlineStr">
        <is>
          <t xml:space="preserve">  Synthèse de l'investissement</t>
        </is>
      </c>
    </row>
    <row r="3" ht="18" customHeight="1">
      <c r="A3" s="2" t="inlineStr">
        <is>
          <t>Tableau de bord — tout est calculé depuis l'onglet « Paramètres »</t>
        </is>
      </c>
    </row>
    <row r="5" ht="22" customHeight="1">
      <c r="B5" s="12" t="inlineStr">
        <is>
          <t>L'opération</t>
        </is>
      </c>
    </row>
    <row r="6" ht="22" customHeight="1">
      <c r="B6" s="12" t="inlineStr">
        <is>
          <t>Revente &amp; enrichissement</t>
        </is>
      </c>
    </row>
    <row r="7">
      <c r="B7" s="6" t="inlineStr">
        <is>
          <t>Montant emprunté</t>
        </is>
      </c>
      <c r="C7" s="13">
        <f>montant_emprunte</f>
        <v/>
      </c>
      <c r="E7" s="6" t="inlineStr">
        <is>
          <t>Prix de revente (année horizon)</t>
        </is>
      </c>
      <c r="F7" s="14">
        <f>prix_bien*(1+reval_bien)^horizon</f>
        <v/>
      </c>
    </row>
    <row r="8">
      <c r="B8" s="6" t="inlineStr">
        <is>
          <t>Mensualité totale (assurance incl.)</t>
        </is>
      </c>
      <c r="C8" s="13">
        <f>mensualite_tot</f>
        <v/>
      </c>
      <c r="E8" s="6" t="inlineStr">
        <is>
          <t>Capital restant dû à l'horizon</t>
        </is>
      </c>
      <c r="F8" s="15">
        <f>INDEX(Amortissement!$H$4:$H$363,MATCH(horizon*12,Amortissement!$A$4:$A$363,0))</f>
        <v/>
      </c>
    </row>
    <row r="9">
      <c r="B9" s="6" t="inlineStr">
        <is>
          <t>Coût total du crédit (intérêts+assur.)</t>
        </is>
      </c>
      <c r="C9" s="13">
        <f>SUM(Amortissement!D4:D363)+SUM(Amortissement!E4:E363)</f>
        <v/>
      </c>
      <c r="E9" s="6" t="inlineStr">
        <is>
          <t>Frais de revente</t>
        </is>
      </c>
      <c r="F9" s="16">
        <f>prix_bien*(1+reval_bien)^horizon*frais_revente_pct</f>
        <v/>
      </c>
    </row>
    <row r="10">
      <c r="B10" s="6" t="inlineStr">
        <is>
          <t>Prix de revient au m²</t>
        </is>
      </c>
      <c r="C10" s="13">
        <f>cout_acquisition/surface</f>
        <v/>
      </c>
      <c r="E10" s="6" t="inlineStr">
        <is>
          <t>Impôt sur la plus-value</t>
        </is>
      </c>
      <c r="F10" s="16">
        <f>impot_plus_value</f>
        <v/>
      </c>
    </row>
    <row r="11">
      <c r="E11" s="17" t="inlineStr">
        <is>
          <t>Produit net de revente (après prêt)</t>
        </is>
      </c>
      <c r="F11" s="18">
        <f>F7-F8-F9-F10</f>
        <v/>
      </c>
    </row>
    <row r="12" ht="22" customHeight="1">
      <c r="B12" s="12" t="inlineStr">
        <is>
          <t>Les 3 rendements</t>
        </is>
      </c>
    </row>
    <row r="13" ht="22" customHeight="1">
      <c r="B13" s="12" t="inlineStr">
        <is>
          <t>Performance globale</t>
        </is>
      </c>
    </row>
    <row r="14">
      <c r="B14" s="6" t="inlineStr">
        <is>
          <t>Rendement NET de charges</t>
        </is>
      </c>
      <c r="C14" s="19">
        <f>(Projection!C4-Projection!D4)/cout_acquisition</f>
        <v/>
      </c>
      <c r="E14" s="6" t="inlineStr">
        <is>
          <t>Capital remboursé sur l'horizon</t>
        </is>
      </c>
      <c r="F14" s="16">
        <f>SUMIFS(Amortissement!$F$4:$F$363,Amortissement!$B$4:$B$363,"&lt;="&amp;horizon)</f>
        <v/>
      </c>
    </row>
    <row r="15">
      <c r="B15" s="6" t="inlineStr">
        <is>
          <t>Rendement NET-NET (après impôt)</t>
        </is>
      </c>
      <c r="C15" s="19">
        <f>(Projection!C4-Projection!D4-Projection!L4)/cout_acquisition</f>
        <v/>
      </c>
      <c r="E15" s="6" t="inlineStr">
        <is>
          <t>Cash-flow cumulé (après impôt, horizon)</t>
        </is>
      </c>
      <c r="F15" s="16">
        <f>INDEX(Projection!$N$4:$N$33,horizon)</f>
        <v/>
      </c>
    </row>
    <row r="16">
      <c r="E16" s="20" t="inlineStr">
        <is>
          <t>TRI du projet (sur l'horizon)</t>
        </is>
      </c>
      <c r="F16" s="21">
        <f>IRR(C30:C60)</f>
        <v/>
      </c>
    </row>
    <row r="17" ht="22" customHeight="1">
      <c r="B17" s="12" t="inlineStr">
        <is>
          <t>Trésorerie (année 1)</t>
        </is>
      </c>
    </row>
    <row r="18">
      <c r="B18" s="6" t="inlineStr">
        <is>
          <t>Cash-flow mensuel avant impôt</t>
        </is>
      </c>
      <c r="C18" s="13">
        <f>Projection!I4/12</f>
        <v/>
      </c>
    </row>
    <row r="19">
      <c r="B19" s="6" t="inlineStr">
        <is>
          <t>Cash-flow mensuel après impôt</t>
        </is>
      </c>
      <c r="C19" s="22">
        <f>Projection!M4/12</f>
        <v/>
      </c>
    </row>
    <row r="20">
      <c r="B20" s="6" t="inlineStr">
        <is>
          <t>Effort d'épargne mensuel</t>
        </is>
      </c>
      <c r="C20" s="13">
        <f>MAX(0,-Projection!M4/12)</f>
        <v/>
      </c>
    </row>
    <row r="23" ht="22" customHeight="1">
      <c r="B23" s="12" t="inlineStr">
        <is>
          <t>Verdict</t>
        </is>
      </c>
    </row>
    <row r="24" ht="30" customHeight="1">
      <c r="B24" s="23">
        <f>IF(AND(rdt_net&gt;=0.05,cf_apres&gt;=-100),"✓ Projet solide : rendement net ≥ 5% et trésorerie tenable",IF(OR(rdt_net&lt;0.03,cf_apres&lt;-300),"✗ Vigilance : rendement faible ou fort effort dépargne","≈ Projet correct à optimiser (fiscalité, négociation, financement)"))</f>
        <v/>
      </c>
    </row>
    <row r="29">
      <c r="B29" s="24" t="inlineStr">
        <is>
          <t>Flux pour le calcul du TRI (détail)</t>
        </is>
      </c>
    </row>
    <row r="30">
      <c r="B30" s="25" t="inlineStr">
        <is>
          <t>Année 0 (apport)</t>
        </is>
      </c>
      <c r="C30" s="26">
        <f>-apport</f>
        <v/>
      </c>
    </row>
    <row r="31">
      <c r="B31" s="25" t="inlineStr">
        <is>
          <t>Année 1</t>
        </is>
      </c>
      <c r="C31" s="26">
        <f>Projection!T4</f>
        <v/>
      </c>
    </row>
    <row r="32">
      <c r="B32" s="25" t="inlineStr">
        <is>
          <t>Année 2</t>
        </is>
      </c>
      <c r="C32" s="26">
        <f>Projection!T5</f>
        <v/>
      </c>
    </row>
    <row r="33">
      <c r="B33" s="25" t="inlineStr">
        <is>
          <t>Année 3</t>
        </is>
      </c>
      <c r="C33" s="26">
        <f>Projection!T6</f>
        <v/>
      </c>
    </row>
    <row r="34">
      <c r="B34" s="25" t="inlineStr">
        <is>
          <t>Année 4</t>
        </is>
      </c>
      <c r="C34" s="26">
        <f>Projection!T7</f>
        <v/>
      </c>
    </row>
    <row r="35">
      <c r="B35" s="25" t="inlineStr">
        <is>
          <t>Année 5</t>
        </is>
      </c>
      <c r="C35" s="26">
        <f>Projection!T8</f>
        <v/>
      </c>
    </row>
    <row r="36">
      <c r="B36" s="25" t="inlineStr">
        <is>
          <t>Année 6</t>
        </is>
      </c>
      <c r="C36" s="26">
        <f>Projection!T9</f>
        <v/>
      </c>
    </row>
    <row r="37">
      <c r="B37" s="25" t="inlineStr">
        <is>
          <t>Année 7</t>
        </is>
      </c>
      <c r="C37" s="26">
        <f>Projection!T10</f>
        <v/>
      </c>
    </row>
    <row r="38">
      <c r="B38" s="25" t="inlineStr">
        <is>
          <t>Année 8</t>
        </is>
      </c>
      <c r="C38" s="26">
        <f>Projection!T11</f>
        <v/>
      </c>
    </row>
    <row r="39">
      <c r="B39" s="25" t="inlineStr">
        <is>
          <t>Année 9</t>
        </is>
      </c>
      <c r="C39" s="26">
        <f>Projection!T12</f>
        <v/>
      </c>
    </row>
    <row r="40">
      <c r="B40" s="25" t="inlineStr">
        <is>
          <t>Année 10</t>
        </is>
      </c>
      <c r="C40" s="26">
        <f>Projection!T13</f>
        <v/>
      </c>
    </row>
    <row r="41">
      <c r="B41" s="25" t="inlineStr">
        <is>
          <t>Année 11</t>
        </is>
      </c>
      <c r="C41" s="26">
        <f>Projection!T14</f>
        <v/>
      </c>
    </row>
    <row r="42">
      <c r="B42" s="25" t="inlineStr">
        <is>
          <t>Année 12</t>
        </is>
      </c>
      <c r="C42" s="26">
        <f>Projection!T15</f>
        <v/>
      </c>
    </row>
    <row r="43">
      <c r="B43" s="25" t="inlineStr">
        <is>
          <t>Année 13</t>
        </is>
      </c>
      <c r="C43" s="26">
        <f>Projection!T16</f>
        <v/>
      </c>
    </row>
    <row r="44">
      <c r="B44" s="25" t="inlineStr">
        <is>
          <t>Année 14</t>
        </is>
      </c>
      <c r="C44" s="26">
        <f>Projection!T17</f>
        <v/>
      </c>
    </row>
    <row r="45">
      <c r="B45" s="25" t="inlineStr">
        <is>
          <t>Année 15</t>
        </is>
      </c>
      <c r="C45" s="26">
        <f>Projection!T18</f>
        <v/>
      </c>
    </row>
    <row r="46">
      <c r="B46" s="25" t="inlineStr">
        <is>
          <t>Année 16</t>
        </is>
      </c>
      <c r="C46" s="26">
        <f>Projection!T19</f>
        <v/>
      </c>
    </row>
    <row r="47">
      <c r="B47" s="25" t="inlineStr">
        <is>
          <t>Année 17</t>
        </is>
      </c>
      <c r="C47" s="26">
        <f>Projection!T20</f>
        <v/>
      </c>
    </row>
    <row r="48">
      <c r="B48" s="25" t="inlineStr">
        <is>
          <t>Année 18</t>
        </is>
      </c>
      <c r="C48" s="26">
        <f>Projection!T21</f>
        <v/>
      </c>
    </row>
    <row r="49">
      <c r="B49" s="25" t="inlineStr">
        <is>
          <t>Année 19</t>
        </is>
      </c>
      <c r="C49" s="26">
        <f>Projection!T22</f>
        <v/>
      </c>
    </row>
    <row r="50">
      <c r="B50" s="25" t="inlineStr">
        <is>
          <t>Année 20</t>
        </is>
      </c>
      <c r="C50" s="26">
        <f>Projection!T23</f>
        <v/>
      </c>
    </row>
    <row r="51">
      <c r="B51" s="25" t="inlineStr">
        <is>
          <t>Année 21</t>
        </is>
      </c>
      <c r="C51" s="26">
        <f>Projection!T24</f>
        <v/>
      </c>
    </row>
    <row r="52">
      <c r="B52" s="25" t="inlineStr">
        <is>
          <t>Année 22</t>
        </is>
      </c>
      <c r="C52" s="26">
        <f>Projection!T25</f>
        <v/>
      </c>
    </row>
    <row r="53">
      <c r="B53" s="25" t="inlineStr">
        <is>
          <t>Année 23</t>
        </is>
      </c>
      <c r="C53" s="26">
        <f>Projection!T26</f>
        <v/>
      </c>
    </row>
    <row r="54">
      <c r="B54" s="25" t="inlineStr">
        <is>
          <t>Année 24</t>
        </is>
      </c>
      <c r="C54" s="26">
        <f>Projection!T27</f>
        <v/>
      </c>
    </row>
    <row r="55">
      <c r="B55" s="25" t="inlineStr">
        <is>
          <t>Année 25</t>
        </is>
      </c>
      <c r="C55" s="26">
        <f>Projection!T28</f>
        <v/>
      </c>
    </row>
    <row r="56">
      <c r="B56" s="25" t="inlineStr">
        <is>
          <t>Année 26</t>
        </is>
      </c>
      <c r="C56" s="26">
        <f>Projection!T29</f>
        <v/>
      </c>
    </row>
    <row r="57">
      <c r="B57" s="25" t="inlineStr">
        <is>
          <t>Année 27</t>
        </is>
      </c>
      <c r="C57" s="26">
        <f>Projection!T30</f>
        <v/>
      </c>
    </row>
    <row r="58">
      <c r="B58" s="25" t="inlineStr">
        <is>
          <t>Année 28</t>
        </is>
      </c>
      <c r="C58" s="26">
        <f>Projection!T31</f>
        <v/>
      </c>
    </row>
    <row r="59">
      <c r="B59" s="25" t="inlineStr">
        <is>
          <t>Année 29</t>
        </is>
      </c>
      <c r="C59" s="26">
        <f>Projection!T32</f>
        <v/>
      </c>
    </row>
    <row r="60">
      <c r="B60" s="25" t="inlineStr">
        <is>
          <t>Année 30</t>
        </is>
      </c>
      <c r="C60" s="26">
        <f>Projection!T33</f>
        <v/>
      </c>
    </row>
  </sheetData>
  <mergeCells count="15">
    <mergeCell ref="A2:F2"/>
    <mergeCell ref="B24:C24"/>
    <mergeCell ref="E6:F6"/>
    <mergeCell ref="B17"/>
    <mergeCell ref="B12"/>
    <mergeCell ref="B5:C5"/>
    <mergeCell ref="B13:E13"/>
    <mergeCell ref="B6:E6"/>
    <mergeCell ref="B23:C23"/>
    <mergeCell ref="E13:F13"/>
    <mergeCell ref="B17:C17"/>
    <mergeCell ref="A3:F3"/>
    <mergeCell ref="B5"/>
    <mergeCell ref="B23"/>
    <mergeCell ref="B12:C12"/>
  </mergeCells>
  <conditionalFormatting sqref="C19">
    <cfRule type="cellIs" priority="1" operator="greaterThanOrEqual" dxfId="0">
      <formula>0</formula>
    </cfRule>
    <cfRule type="cellIs" priority="2" operator="lessThan" dxfId="1">
      <formula>0</formula>
    </cfRule>
  </conditionalFormatting>
  <conditionalFormatting sqref="C15">
    <cfRule type="cellIs" priority="3" operator="greaterThanOrEqual" dxfId="0">
      <formula>0.06</formula>
    </cfRule>
    <cfRule type="cellIs" priority="4" operator="lessThan" dxfId="1">
      <formula>0.03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E55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6" customWidth="1" min="2" max="2"/>
    <col width="16" customWidth="1" min="3" max="3"/>
    <col width="4" customWidth="1" min="4" max="4"/>
    <col width="40" customWidth="1" min="5" max="5"/>
  </cols>
  <sheetData>
    <row r="2" ht="30" customHeight="1">
      <c r="A2" s="1" t="inlineStr">
        <is>
          <t xml:space="preserve">  Paramètres — remplissez les cases bleues</t>
        </is>
      </c>
    </row>
    <row r="3" ht="18" customHeight="1">
      <c r="A3" s="2" t="inlineStr">
        <is>
          <t>Tout le classeur se recalcule à partir de ces valeurs</t>
        </is>
      </c>
    </row>
    <row r="4" ht="22" customHeight="1">
      <c r="B4" s="12" t="inlineStr">
        <is>
          <t>① Le bien</t>
        </is>
      </c>
    </row>
    <row r="5">
      <c r="B5" s="6" t="inlineStr">
        <is>
          <t>Prix d'achat du bien (hors frais de notaire)</t>
        </is>
      </c>
      <c r="C5" s="27" t="n">
        <v>150000</v>
      </c>
    </row>
    <row r="6">
      <c r="B6" s="6" t="inlineStr">
        <is>
          <t>Surface (m²)</t>
        </is>
      </c>
      <c r="C6" s="28" t="n">
        <v>35</v>
      </c>
    </row>
    <row r="7">
      <c r="B7" s="6" t="inlineStr">
        <is>
          <t>Loyer mensuel hors charges (€)</t>
        </is>
      </c>
      <c r="C7" s="27" t="n">
        <v>700</v>
      </c>
    </row>
    <row r="8">
      <c r="B8" s="6" t="inlineStr">
        <is>
          <t>Charges récupérables / mois (info)</t>
        </is>
      </c>
      <c r="C8" s="27" t="n">
        <v>55</v>
      </c>
      <c r="E8" s="29" t="inlineStr">
        <is>
          <t>Refacturées au locataire, neutres sur le rendement</t>
        </is>
      </c>
    </row>
    <row r="9">
      <c r="B9" s="6" t="inlineStr">
        <is>
          <t>Type : Ancien ou Neuf</t>
        </is>
      </c>
      <c r="C9" s="30" t="inlineStr">
        <is>
          <t>Ancien</t>
        </is>
      </c>
      <c r="E9" s="29" t="inlineStr">
        <is>
          <t>Pilote le taux de frais de notaire par défaut</t>
        </is>
      </c>
    </row>
    <row r="10" ht="22" customHeight="1">
      <c r="B10" s="12" t="inlineStr">
        <is>
          <t>② Frais d'acquisition</t>
        </is>
      </c>
    </row>
    <row r="11">
      <c r="B11" s="6" t="inlineStr">
        <is>
          <t>Frais de notaire — taux automatique</t>
        </is>
      </c>
      <c r="C11" s="31">
        <f>IF(type_bien="Neuf",0.025,0.075)</f>
        <v/>
      </c>
      <c r="E11" s="29" t="inlineStr">
        <is>
          <t>≈ 7,5 % ancien / 2,5 % neuf</t>
        </is>
      </c>
    </row>
    <row r="12">
      <c r="B12" s="6" t="inlineStr">
        <is>
          <t>→ ou montant de notaire imposé (sinon 0)</t>
        </is>
      </c>
      <c r="C12" s="27" t="n">
        <v>0</v>
      </c>
      <c r="E12" s="29" t="inlineStr">
        <is>
          <t>Renseignez pour forcer une valeur</t>
        </is>
      </c>
    </row>
    <row r="13">
      <c r="B13" s="6" t="inlineStr">
        <is>
          <t>Travaux (rénovation, mise aux normes)</t>
        </is>
      </c>
      <c r="C13" s="27" t="n">
        <v>10000</v>
      </c>
    </row>
    <row r="14">
      <c r="B14" s="6" t="inlineStr">
        <is>
          <t>Mobilier / équipement (si meublé)</t>
        </is>
      </c>
      <c r="C14" s="27" t="n">
        <v>5000</v>
      </c>
    </row>
    <row r="15">
      <c r="B15" s="6" t="inlineStr">
        <is>
          <t>Frais d'agence à l'achat</t>
        </is>
      </c>
      <c r="C15" s="27" t="n">
        <v>0</v>
      </c>
    </row>
    <row r="16">
      <c r="B16" s="6" t="inlineStr">
        <is>
          <t>Frais de dossier / courtage</t>
        </is>
      </c>
      <c r="C16" s="27" t="n">
        <v>1000</v>
      </c>
    </row>
    <row r="17">
      <c r="B17" s="6" t="inlineStr">
        <is>
          <t>Frais de garantie (caution / hypothèque)</t>
        </is>
      </c>
      <c r="C17" s="27" t="n">
        <v>2000</v>
      </c>
    </row>
    <row r="18" ht="22" customHeight="1">
      <c r="B18" s="12" t="inlineStr">
        <is>
          <t>③ Financement</t>
        </is>
      </c>
    </row>
    <row r="19">
      <c r="B19" s="6" t="inlineStr">
        <is>
          <t>Apport personnel</t>
        </is>
      </c>
      <c r="C19" s="27" t="n">
        <v>20000</v>
      </c>
    </row>
    <row r="20">
      <c r="B20" s="6" t="inlineStr">
        <is>
          <t>Taux d'intérêt du crédit (annuel)</t>
        </is>
      </c>
      <c r="C20" s="32" t="n">
        <v>0.035</v>
      </c>
    </row>
    <row r="21">
      <c r="B21" s="6" t="inlineStr">
        <is>
          <t>Durée du crédit (années)</t>
        </is>
      </c>
      <c r="C21" s="28" t="n">
        <v>20</v>
      </c>
    </row>
    <row r="22">
      <c r="B22" s="6" t="inlineStr">
        <is>
          <t>Taux assurance emprunteur (annuel)</t>
        </is>
      </c>
      <c r="C22" s="32" t="n">
        <v>0.0034</v>
      </c>
      <c r="E22" s="29" t="inlineStr">
        <is>
          <t>Appliqué au capital emprunté</t>
        </is>
      </c>
    </row>
    <row r="23" ht="22" customHeight="1">
      <c r="B23" s="12" t="inlineStr">
        <is>
          <t>④ Charges d'exploitation annuelles</t>
        </is>
      </c>
    </row>
    <row r="24">
      <c r="B24" s="6" t="inlineStr">
        <is>
          <t>Taxe foncière / an</t>
        </is>
      </c>
      <c r="C24" s="27" t="n">
        <v>800</v>
      </c>
    </row>
    <row r="25">
      <c r="B25" s="6" t="inlineStr">
        <is>
          <t>Assurance PNO / an</t>
        </is>
      </c>
      <c r="C25" s="27" t="n">
        <v>150</v>
      </c>
    </row>
    <row r="26">
      <c r="B26" s="6" t="inlineStr">
        <is>
          <t>Assurance loyers impayés (% du loyer)</t>
        </is>
      </c>
      <c r="C26" s="33" t="n">
        <v>0.025</v>
      </c>
    </row>
    <row r="27">
      <c r="B27" s="6" t="inlineStr">
        <is>
          <t>Frais de gestion locative (% loyer HC)</t>
        </is>
      </c>
      <c r="C27" s="33" t="n">
        <v>0.06</v>
      </c>
    </row>
    <row r="28">
      <c r="B28" s="6" t="inlineStr">
        <is>
          <t>Charges de copropriété non récupérables / an</t>
        </is>
      </c>
      <c r="C28" s="27" t="n">
        <v>600</v>
      </c>
    </row>
    <row r="29">
      <c r="B29" s="6" t="inlineStr">
        <is>
          <t>Frais de comptabilité / an (si réel)</t>
        </is>
      </c>
      <c r="C29" s="27" t="n">
        <v>400</v>
      </c>
    </row>
    <row r="30">
      <c r="B30" s="6" t="inlineStr">
        <is>
          <t>CFE / an (meublé)</t>
        </is>
      </c>
      <c r="C30" s="27" t="n">
        <v>0</v>
      </c>
    </row>
    <row r="31">
      <c r="B31" s="6" t="inlineStr">
        <is>
          <t>Provision entretien / réparations (% loyer)</t>
        </is>
      </c>
      <c r="C31" s="33" t="n">
        <v>0.05</v>
      </c>
    </row>
    <row r="32">
      <c r="B32" s="6" t="inlineStr">
        <is>
          <t>Vacance locative (%)</t>
        </is>
      </c>
      <c r="C32" s="33" t="n">
        <v>0.05</v>
      </c>
    </row>
    <row r="33">
      <c r="B33" s="6" t="inlineStr">
        <is>
          <t>Impayés non couverts (%)</t>
        </is>
      </c>
      <c r="C33" s="33" t="n">
        <v>0</v>
      </c>
    </row>
    <row r="34" ht="22" customHeight="1">
      <c r="B34" s="12" t="inlineStr">
        <is>
          <t>⑤ Évolution &amp; revente</t>
        </is>
      </c>
    </row>
    <row r="35">
      <c r="B35" s="6" t="inlineStr">
        <is>
          <t>Revalorisation des loyers / an</t>
        </is>
      </c>
      <c r="C35" s="33" t="n">
        <v>0.01</v>
      </c>
    </row>
    <row r="36">
      <c r="B36" s="6" t="inlineStr">
        <is>
          <t>Évolution des charges / an</t>
        </is>
      </c>
      <c r="C36" s="33" t="n">
        <v>0.015</v>
      </c>
    </row>
    <row r="37">
      <c r="B37" s="6" t="inlineStr">
        <is>
          <t>Évolution de la valeur du bien / an</t>
        </is>
      </c>
      <c r="C37" s="33" t="n">
        <v>0.015</v>
      </c>
    </row>
    <row r="38">
      <c r="B38" s="6" t="inlineStr">
        <is>
          <t>Horizon de revente (années)</t>
        </is>
      </c>
      <c r="C38" s="28" t="n">
        <v>15</v>
      </c>
      <c r="E38" s="29" t="inlineStr">
        <is>
          <t>≤ 30 ; pilote le TRI et la plus-value</t>
        </is>
      </c>
    </row>
    <row r="39">
      <c r="B39" s="6" t="inlineStr">
        <is>
          <t>Frais à la revente (% du prix)</t>
        </is>
      </c>
      <c r="C39" s="33" t="n">
        <v>0.04</v>
      </c>
      <c r="E39" s="29" t="inlineStr">
        <is>
          <t>Agence + diagnostics</t>
        </is>
      </c>
    </row>
    <row r="40" ht="22" customHeight="1">
      <c r="B40" s="12" t="inlineStr">
        <is>
          <t>⑥ Fiscalité</t>
        </is>
      </c>
    </row>
    <row r="41">
      <c r="B41" s="6" t="inlineStr">
        <is>
          <t>Régime fiscal retenu (projection)</t>
        </is>
      </c>
      <c r="C41" s="30" t="inlineStr">
        <is>
          <t>LMNP réel (meublé)</t>
        </is>
      </c>
    </row>
    <row r="42">
      <c r="B42" s="6" t="inlineStr">
        <is>
          <t>Tranche marginale d'imposition (TMI)</t>
        </is>
      </c>
      <c r="C42" s="33" t="n">
        <v>0.3</v>
      </c>
      <c r="E42" s="29" t="inlineStr">
        <is>
          <t>0 / 11 / 30 / 41 / 45 %</t>
        </is>
      </c>
    </row>
    <row r="43">
      <c r="B43" s="6" t="inlineStr">
        <is>
          <t>Prélèvements sociaux</t>
        </is>
      </c>
      <c r="C43" s="31" t="n">
        <v>0.172</v>
      </c>
    </row>
    <row r="44" ht="22" customHeight="1">
      <c r="B44" s="12" t="inlineStr">
        <is>
          <t>⑦ Amortissement LMNP (régime réel)</t>
        </is>
      </c>
    </row>
    <row r="45">
      <c r="B45" s="6" t="inlineStr">
        <is>
          <t>Quote-part terrain (non amortissable)</t>
        </is>
      </c>
      <c r="C45" s="33" t="n">
        <v>0.15</v>
      </c>
    </row>
    <row r="46">
      <c r="B46" s="6" t="inlineStr">
        <is>
          <t>Durée d'amortissement du bâti (ans)</t>
        </is>
      </c>
      <c r="C46" s="28" t="n">
        <v>30</v>
      </c>
    </row>
    <row r="47">
      <c r="B47" s="6" t="inlineStr">
        <is>
          <t>Durée d'amortissement du mobilier (ans)</t>
        </is>
      </c>
      <c r="C47" s="28" t="n">
        <v>7</v>
      </c>
    </row>
    <row r="48">
      <c r="B48" s="6" t="inlineStr">
        <is>
          <t>Durée d'amortissement des travaux (ans)</t>
        </is>
      </c>
      <c r="C48" s="28" t="n">
        <v>10</v>
      </c>
    </row>
    <row r="49" ht="22" customHeight="1">
      <c r="B49" s="12" t="inlineStr">
        <is>
          <t>Valeurs calculées (ne pas modifier)</t>
        </is>
      </c>
    </row>
    <row r="50">
      <c r="B50" s="6" t="inlineStr">
        <is>
          <t>Frais de notaire retenus</t>
        </is>
      </c>
      <c r="C50" s="34">
        <f>IF(notaire_saisi&gt;0,notaire_saisi,prix_bien*notaire_pct)</f>
        <v/>
      </c>
    </row>
    <row r="51">
      <c r="B51" s="6" t="inlineStr">
        <is>
          <t>Coût total de l'opération</t>
        </is>
      </c>
      <c r="C51" s="34">
        <f>prix_bien+frais_notaire+travaux+meubles+frais_agence+frais_bancaires+frais_garantie</f>
        <v/>
      </c>
    </row>
    <row r="52">
      <c r="B52" s="6" t="inlineStr">
        <is>
          <t>Montant emprunté</t>
        </is>
      </c>
      <c r="C52" s="34">
        <f>MAX(0,cout_acquisition-apport)</f>
        <v/>
      </c>
    </row>
    <row r="53">
      <c r="B53" s="6" t="inlineStr">
        <is>
          <t>Mensualité hors assurance</t>
        </is>
      </c>
      <c r="C53" s="34">
        <f>IF(montant_emprunte&gt;0,-PMT(taux_credit/12,duree_credit*12,montant_emprunte),0)</f>
        <v/>
      </c>
    </row>
    <row r="54">
      <c r="B54" s="6" t="inlineStr">
        <is>
          <t>Assurance emprunteur / mois</t>
        </is>
      </c>
      <c r="C54" s="34">
        <f>montant_emprunte*taux_assurance/12</f>
        <v/>
      </c>
    </row>
    <row r="55">
      <c r="B55" s="6" t="inlineStr">
        <is>
          <t>Mensualité totale (avec assurance)</t>
        </is>
      </c>
      <c r="C55" s="34">
        <f>mensualite_ha+assurance_mens</f>
        <v/>
      </c>
    </row>
  </sheetData>
  <mergeCells count="10">
    <mergeCell ref="B23:E23"/>
    <mergeCell ref="B18:E18"/>
    <mergeCell ref="B40:E40"/>
    <mergeCell ref="B49:E49"/>
    <mergeCell ref="B4:E4"/>
    <mergeCell ref="A2:E2"/>
    <mergeCell ref="B44:E44"/>
    <mergeCell ref="B34:E34"/>
    <mergeCell ref="B10:E10"/>
    <mergeCell ref="A3:E3"/>
  </mergeCells>
  <dataValidations count="3">
    <dataValidation sqref="C9" showDropDown="0" showInputMessage="0" showErrorMessage="0" allowBlank="0" type="list">
      <formula1>"Ancien,Neuf"</formula1>
    </dataValidation>
    <dataValidation sqref="C41" showDropDown="0" showInputMessage="0" showErrorMessage="0" allowBlank="0" type="list">
      <formula1>"Micro-foncier (nu),Réel foncier (nu),Micro-BIC (meublé),LMNP réel (meublé)"</formula1>
    </dataValidation>
    <dataValidation sqref="C42" showDropDown="0" showInputMessage="0" showErrorMessage="0" allowBlank="0" type="list">
      <formula1>"0,0.11,0.30,0.41,0.45"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T3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7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</cols>
  <sheetData>
    <row r="1" ht="30" customHeight="1">
      <c r="A1" s="1" t="inlineStr">
        <is>
          <t xml:space="preserve">  Projection annuelle des flux &amp; de la fiscalité</t>
        </is>
      </c>
    </row>
    <row r="2" ht="18" customHeight="1">
      <c r="A2" s="2" t="inlineStr">
        <is>
          <t>Régime appliqué = paramètre « Régime fiscal retenu »  •  années 1 à 30</t>
        </is>
      </c>
    </row>
    <row r="3">
      <c r="A3" s="35" t="inlineStr">
        <is>
          <t>Année</t>
        </is>
      </c>
      <c r="B3" s="35" t="inlineStr">
        <is>
          <t>Loyers potentiels</t>
        </is>
      </c>
      <c r="C3" s="35" t="inlineStr">
        <is>
          <t>Loyers encaissés</t>
        </is>
      </c>
      <c r="D3" s="35" t="inlineStr">
        <is>
          <t>Charges d'exploitation</t>
        </is>
      </c>
      <c r="E3" s="35" t="inlineStr">
        <is>
          <t>Intérêts d'emprunt</t>
        </is>
      </c>
      <c r="F3" s="35" t="inlineStr">
        <is>
          <t>Assurance emprunt</t>
        </is>
      </c>
      <c r="G3" s="35" t="inlineStr">
        <is>
          <t>Capital remboursé</t>
        </is>
      </c>
      <c r="H3" s="35" t="inlineStr">
        <is>
          <t>Annuités totales</t>
        </is>
      </c>
      <c r="I3" s="35" t="inlineStr">
        <is>
          <t>Cash-flow avant impôt</t>
        </is>
      </c>
      <c r="J3" s="35" t="inlineStr">
        <is>
          <t>Amort. utilisé (LMNP)</t>
        </is>
      </c>
      <c r="K3" s="35" t="inlineStr">
        <is>
          <t>Base imposable</t>
        </is>
      </c>
      <c r="L3" s="35" t="inlineStr">
        <is>
          <t>Impôt (IR+PS)</t>
        </is>
      </c>
      <c r="M3" s="35" t="inlineStr">
        <is>
          <t>Cash-flow après impôt</t>
        </is>
      </c>
      <c r="N3" s="35" t="inlineStr">
        <is>
          <t>Cash-flow cumulé</t>
        </is>
      </c>
      <c r="P3" s="36" t="inlineStr">
        <is>
          <t>Amort théorique</t>
        </is>
      </c>
      <c r="Q3" s="36" t="inlineStr">
        <is>
          <t>Report amort N-1</t>
        </is>
      </c>
      <c r="R3" s="36" t="inlineStr">
        <is>
          <t>Report amort fin</t>
        </is>
      </c>
      <c r="S3" s="36" t="inlineStr">
        <is>
          <t>Résultat avt amort</t>
        </is>
      </c>
      <c r="T3" s="36" t="inlineStr">
        <is>
          <t>Flux TRI</t>
        </is>
      </c>
    </row>
    <row r="4">
      <c r="A4" s="37" t="n">
        <v>1</v>
      </c>
      <c r="B4" s="38">
        <f>loyer_hc*12*(1+reval_loyer)^(1-1)</f>
        <v/>
      </c>
      <c r="C4" s="38">
        <f>B4*(1-vacance_pct-impayes_pct)</f>
        <v/>
      </c>
      <c r="D4" s="38">
        <f>(taxe_fonciere+assurance_pno+charges_copro+comptabilite+cfe)*(1+reval_charges)^(1-1)+gli_pct*C4+gestion_pct*B4+entretien_pct*C4</f>
        <v/>
      </c>
      <c r="E4" s="38">
        <f>SUMIFS(Amortissement!$D$4:$D$363,Amortissement!$B$4:$B$363,A4)</f>
        <v/>
      </c>
      <c r="F4" s="38">
        <f>SUMIFS(Amortissement!$E$4:$E$363,Amortissement!$B$4:$B$363,A4)</f>
        <v/>
      </c>
      <c r="G4" s="38">
        <f>SUMIFS(Amortissement!$F$4:$F$363,Amortissement!$B$4:$B$363,A4)</f>
        <v/>
      </c>
      <c r="H4" s="38">
        <f>E4+F4+G4</f>
        <v/>
      </c>
      <c r="I4" s="38">
        <f>C4-D4-H4</f>
        <v/>
      </c>
      <c r="J4" s="38">
        <f>MAX(0,MIN(P4+Q4,MAX(0,S4)))</f>
        <v/>
      </c>
      <c r="K4" s="38">
        <f>IF(regime_proj="Micro-foncier (nu)",C4*0.7,IF(regime_proj="Réel foncier (nu)",S4,IF(regime_proj="Micro-BIC (meublé)",C4*0.5,MAX(0,S4-J4))))</f>
        <v/>
      </c>
      <c r="L4" s="38">
        <f>IF(K4&gt;=0,K4*(tmi+ps_pct),MAX(K4,-10700)*tmi)</f>
        <v/>
      </c>
      <c r="M4" s="38">
        <f>I4-L4</f>
        <v/>
      </c>
      <c r="N4" s="38">
        <f>M4</f>
        <v/>
      </c>
      <c r="P4" s="39">
        <f>IF(1&lt;=duree_bati,prix_bien*(1-terrain_pct)/duree_bati,0)+IF(1&lt;=duree_meubles,meubles/duree_meubles,0)+IF(1&lt;=duree_travaux_amort,travaux/duree_travaux_amort,0)</f>
        <v/>
      </c>
      <c r="Q4" s="39" t="n">
        <v>0</v>
      </c>
      <c r="R4" s="39">
        <f>Q4+P4-J4</f>
        <v/>
      </c>
      <c r="S4" s="39">
        <f>C4-D4-E4</f>
        <v/>
      </c>
      <c r="T4" s="39">
        <f>IF(1&gt;horizon,0,M4+IF(1=horizon,produit_net_revente,0))</f>
        <v/>
      </c>
    </row>
    <row r="5">
      <c r="A5" s="40" t="n">
        <v>2</v>
      </c>
      <c r="B5" s="41">
        <f>loyer_hc*12*(1+reval_loyer)^(2-1)</f>
        <v/>
      </c>
      <c r="C5" s="41">
        <f>B5*(1-vacance_pct-impayes_pct)</f>
        <v/>
      </c>
      <c r="D5" s="41">
        <f>(taxe_fonciere+assurance_pno+charges_copro+comptabilite+cfe)*(1+reval_charges)^(2-1)+gli_pct*C5+gestion_pct*B5+entretien_pct*C5</f>
        <v/>
      </c>
      <c r="E5" s="41">
        <f>SUMIFS(Amortissement!$D$4:$D$363,Amortissement!$B$4:$B$363,A5)</f>
        <v/>
      </c>
      <c r="F5" s="41">
        <f>SUMIFS(Amortissement!$E$4:$E$363,Amortissement!$B$4:$B$363,A5)</f>
        <v/>
      </c>
      <c r="G5" s="41">
        <f>SUMIFS(Amortissement!$F$4:$F$363,Amortissement!$B$4:$B$363,A5)</f>
        <v/>
      </c>
      <c r="H5" s="41">
        <f>E5+F5+G5</f>
        <v/>
      </c>
      <c r="I5" s="41">
        <f>C5-D5-H5</f>
        <v/>
      </c>
      <c r="J5" s="41">
        <f>MAX(0,MIN(P5+Q5,MAX(0,S5)))</f>
        <v/>
      </c>
      <c r="K5" s="41">
        <f>IF(regime_proj="Micro-foncier (nu)",C5*0.7,IF(regime_proj="Réel foncier (nu)",S5,IF(regime_proj="Micro-BIC (meublé)",C5*0.5,MAX(0,S5-J5))))</f>
        <v/>
      </c>
      <c r="L5" s="41">
        <f>IF(K5&gt;=0,K5*(tmi+ps_pct),MAX(K5,-10700)*tmi)</f>
        <v/>
      </c>
      <c r="M5" s="41">
        <f>I5-L5</f>
        <v/>
      </c>
      <c r="N5" s="41">
        <f>N4+M5</f>
        <v/>
      </c>
      <c r="P5" s="39">
        <f>IF(2&lt;=duree_bati,prix_bien*(1-terrain_pct)/duree_bati,0)+IF(2&lt;=duree_meubles,meubles/duree_meubles,0)+IF(2&lt;=duree_travaux_amort,travaux/duree_travaux_amort,0)</f>
        <v/>
      </c>
      <c r="Q5" s="39">
        <f>R4</f>
        <v/>
      </c>
      <c r="R5" s="39">
        <f>Q5+P5-J5</f>
        <v/>
      </c>
      <c r="S5" s="39">
        <f>C5-D5-E5</f>
        <v/>
      </c>
      <c r="T5" s="39">
        <f>IF(2&gt;horizon,0,M5+IF(2=horizon,produit_net_revente,0))</f>
        <v/>
      </c>
    </row>
    <row r="6">
      <c r="A6" s="37" t="n">
        <v>3</v>
      </c>
      <c r="B6" s="38">
        <f>loyer_hc*12*(1+reval_loyer)^(3-1)</f>
        <v/>
      </c>
      <c r="C6" s="38">
        <f>B6*(1-vacance_pct-impayes_pct)</f>
        <v/>
      </c>
      <c r="D6" s="38">
        <f>(taxe_fonciere+assurance_pno+charges_copro+comptabilite+cfe)*(1+reval_charges)^(3-1)+gli_pct*C6+gestion_pct*B6+entretien_pct*C6</f>
        <v/>
      </c>
      <c r="E6" s="38">
        <f>SUMIFS(Amortissement!$D$4:$D$363,Amortissement!$B$4:$B$363,A6)</f>
        <v/>
      </c>
      <c r="F6" s="38">
        <f>SUMIFS(Amortissement!$E$4:$E$363,Amortissement!$B$4:$B$363,A6)</f>
        <v/>
      </c>
      <c r="G6" s="38">
        <f>SUMIFS(Amortissement!$F$4:$F$363,Amortissement!$B$4:$B$363,A6)</f>
        <v/>
      </c>
      <c r="H6" s="38">
        <f>E6+F6+G6</f>
        <v/>
      </c>
      <c r="I6" s="38">
        <f>C6-D6-H6</f>
        <v/>
      </c>
      <c r="J6" s="38">
        <f>MAX(0,MIN(P6+Q6,MAX(0,S6)))</f>
        <v/>
      </c>
      <c r="K6" s="38">
        <f>IF(regime_proj="Micro-foncier (nu)",C6*0.7,IF(regime_proj="Réel foncier (nu)",S6,IF(regime_proj="Micro-BIC (meublé)",C6*0.5,MAX(0,S6-J6))))</f>
        <v/>
      </c>
      <c r="L6" s="38">
        <f>IF(K6&gt;=0,K6*(tmi+ps_pct),MAX(K6,-10700)*tmi)</f>
        <v/>
      </c>
      <c r="M6" s="38">
        <f>I6-L6</f>
        <v/>
      </c>
      <c r="N6" s="38">
        <f>N5+M6</f>
        <v/>
      </c>
      <c r="P6" s="39">
        <f>IF(3&lt;=duree_bati,prix_bien*(1-terrain_pct)/duree_bati,0)+IF(3&lt;=duree_meubles,meubles/duree_meubles,0)+IF(3&lt;=duree_travaux_amort,travaux/duree_travaux_amort,0)</f>
        <v/>
      </c>
      <c r="Q6" s="39">
        <f>R5</f>
        <v/>
      </c>
      <c r="R6" s="39">
        <f>Q6+P6-J6</f>
        <v/>
      </c>
      <c r="S6" s="39">
        <f>C6-D6-E6</f>
        <v/>
      </c>
      <c r="T6" s="39">
        <f>IF(3&gt;horizon,0,M6+IF(3=horizon,produit_net_revente,0))</f>
        <v/>
      </c>
    </row>
    <row r="7">
      <c r="A7" s="40" t="n">
        <v>4</v>
      </c>
      <c r="B7" s="41">
        <f>loyer_hc*12*(1+reval_loyer)^(4-1)</f>
        <v/>
      </c>
      <c r="C7" s="41">
        <f>B7*(1-vacance_pct-impayes_pct)</f>
        <v/>
      </c>
      <c r="D7" s="41">
        <f>(taxe_fonciere+assurance_pno+charges_copro+comptabilite+cfe)*(1+reval_charges)^(4-1)+gli_pct*C7+gestion_pct*B7+entretien_pct*C7</f>
        <v/>
      </c>
      <c r="E7" s="41">
        <f>SUMIFS(Amortissement!$D$4:$D$363,Amortissement!$B$4:$B$363,A7)</f>
        <v/>
      </c>
      <c r="F7" s="41">
        <f>SUMIFS(Amortissement!$E$4:$E$363,Amortissement!$B$4:$B$363,A7)</f>
        <v/>
      </c>
      <c r="G7" s="41">
        <f>SUMIFS(Amortissement!$F$4:$F$363,Amortissement!$B$4:$B$363,A7)</f>
        <v/>
      </c>
      <c r="H7" s="41">
        <f>E7+F7+G7</f>
        <v/>
      </c>
      <c r="I7" s="41">
        <f>C7-D7-H7</f>
        <v/>
      </c>
      <c r="J7" s="41">
        <f>MAX(0,MIN(P7+Q7,MAX(0,S7)))</f>
        <v/>
      </c>
      <c r="K7" s="41">
        <f>IF(regime_proj="Micro-foncier (nu)",C7*0.7,IF(regime_proj="Réel foncier (nu)",S7,IF(regime_proj="Micro-BIC (meublé)",C7*0.5,MAX(0,S7-J7))))</f>
        <v/>
      </c>
      <c r="L7" s="41">
        <f>IF(K7&gt;=0,K7*(tmi+ps_pct),MAX(K7,-10700)*tmi)</f>
        <v/>
      </c>
      <c r="M7" s="41">
        <f>I7-L7</f>
        <v/>
      </c>
      <c r="N7" s="41">
        <f>N6+M7</f>
        <v/>
      </c>
      <c r="P7" s="39">
        <f>IF(4&lt;=duree_bati,prix_bien*(1-terrain_pct)/duree_bati,0)+IF(4&lt;=duree_meubles,meubles/duree_meubles,0)+IF(4&lt;=duree_travaux_amort,travaux/duree_travaux_amort,0)</f>
        <v/>
      </c>
      <c r="Q7" s="39">
        <f>R6</f>
        <v/>
      </c>
      <c r="R7" s="39">
        <f>Q7+P7-J7</f>
        <v/>
      </c>
      <c r="S7" s="39">
        <f>C7-D7-E7</f>
        <v/>
      </c>
      <c r="T7" s="39">
        <f>IF(4&gt;horizon,0,M7+IF(4=horizon,produit_net_revente,0))</f>
        <v/>
      </c>
    </row>
    <row r="8">
      <c r="A8" s="37" t="n">
        <v>5</v>
      </c>
      <c r="B8" s="38">
        <f>loyer_hc*12*(1+reval_loyer)^(5-1)</f>
        <v/>
      </c>
      <c r="C8" s="38">
        <f>B8*(1-vacance_pct-impayes_pct)</f>
        <v/>
      </c>
      <c r="D8" s="38">
        <f>(taxe_fonciere+assurance_pno+charges_copro+comptabilite+cfe)*(1+reval_charges)^(5-1)+gli_pct*C8+gestion_pct*B8+entretien_pct*C8</f>
        <v/>
      </c>
      <c r="E8" s="38">
        <f>SUMIFS(Amortissement!$D$4:$D$363,Amortissement!$B$4:$B$363,A8)</f>
        <v/>
      </c>
      <c r="F8" s="38">
        <f>SUMIFS(Amortissement!$E$4:$E$363,Amortissement!$B$4:$B$363,A8)</f>
        <v/>
      </c>
      <c r="G8" s="38">
        <f>SUMIFS(Amortissement!$F$4:$F$363,Amortissement!$B$4:$B$363,A8)</f>
        <v/>
      </c>
      <c r="H8" s="38">
        <f>E8+F8+G8</f>
        <v/>
      </c>
      <c r="I8" s="38">
        <f>C8-D8-H8</f>
        <v/>
      </c>
      <c r="J8" s="38">
        <f>MAX(0,MIN(P8+Q8,MAX(0,S8)))</f>
        <v/>
      </c>
      <c r="K8" s="38">
        <f>IF(regime_proj="Micro-foncier (nu)",C8*0.7,IF(regime_proj="Réel foncier (nu)",S8,IF(regime_proj="Micro-BIC (meublé)",C8*0.5,MAX(0,S8-J8))))</f>
        <v/>
      </c>
      <c r="L8" s="38">
        <f>IF(K8&gt;=0,K8*(tmi+ps_pct),MAX(K8,-10700)*tmi)</f>
        <v/>
      </c>
      <c r="M8" s="38">
        <f>I8-L8</f>
        <v/>
      </c>
      <c r="N8" s="38">
        <f>N7+M8</f>
        <v/>
      </c>
      <c r="P8" s="39">
        <f>IF(5&lt;=duree_bati,prix_bien*(1-terrain_pct)/duree_bati,0)+IF(5&lt;=duree_meubles,meubles/duree_meubles,0)+IF(5&lt;=duree_travaux_amort,travaux/duree_travaux_amort,0)</f>
        <v/>
      </c>
      <c r="Q8" s="39">
        <f>R7</f>
        <v/>
      </c>
      <c r="R8" s="39">
        <f>Q8+P8-J8</f>
        <v/>
      </c>
      <c r="S8" s="39">
        <f>C8-D8-E8</f>
        <v/>
      </c>
      <c r="T8" s="39">
        <f>IF(5&gt;horizon,0,M8+IF(5=horizon,produit_net_revente,0))</f>
        <v/>
      </c>
    </row>
    <row r="9">
      <c r="A9" s="40" t="n">
        <v>6</v>
      </c>
      <c r="B9" s="41">
        <f>loyer_hc*12*(1+reval_loyer)^(6-1)</f>
        <v/>
      </c>
      <c r="C9" s="41">
        <f>B9*(1-vacance_pct-impayes_pct)</f>
        <v/>
      </c>
      <c r="D9" s="41">
        <f>(taxe_fonciere+assurance_pno+charges_copro+comptabilite+cfe)*(1+reval_charges)^(6-1)+gli_pct*C9+gestion_pct*B9+entretien_pct*C9</f>
        <v/>
      </c>
      <c r="E9" s="41">
        <f>SUMIFS(Amortissement!$D$4:$D$363,Amortissement!$B$4:$B$363,A9)</f>
        <v/>
      </c>
      <c r="F9" s="41">
        <f>SUMIFS(Amortissement!$E$4:$E$363,Amortissement!$B$4:$B$363,A9)</f>
        <v/>
      </c>
      <c r="G9" s="41">
        <f>SUMIFS(Amortissement!$F$4:$F$363,Amortissement!$B$4:$B$363,A9)</f>
        <v/>
      </c>
      <c r="H9" s="41">
        <f>E9+F9+G9</f>
        <v/>
      </c>
      <c r="I9" s="41">
        <f>C9-D9-H9</f>
        <v/>
      </c>
      <c r="J9" s="41">
        <f>MAX(0,MIN(P9+Q9,MAX(0,S9)))</f>
        <v/>
      </c>
      <c r="K9" s="41">
        <f>IF(regime_proj="Micro-foncier (nu)",C9*0.7,IF(regime_proj="Réel foncier (nu)",S9,IF(regime_proj="Micro-BIC (meublé)",C9*0.5,MAX(0,S9-J9))))</f>
        <v/>
      </c>
      <c r="L9" s="41">
        <f>IF(K9&gt;=0,K9*(tmi+ps_pct),MAX(K9,-10700)*tmi)</f>
        <v/>
      </c>
      <c r="M9" s="41">
        <f>I9-L9</f>
        <v/>
      </c>
      <c r="N9" s="41">
        <f>N8+M9</f>
        <v/>
      </c>
      <c r="P9" s="39">
        <f>IF(6&lt;=duree_bati,prix_bien*(1-terrain_pct)/duree_bati,0)+IF(6&lt;=duree_meubles,meubles/duree_meubles,0)+IF(6&lt;=duree_travaux_amort,travaux/duree_travaux_amort,0)</f>
        <v/>
      </c>
      <c r="Q9" s="39">
        <f>R8</f>
        <v/>
      </c>
      <c r="R9" s="39">
        <f>Q9+P9-J9</f>
        <v/>
      </c>
      <c r="S9" s="39">
        <f>C9-D9-E9</f>
        <v/>
      </c>
      <c r="T9" s="39">
        <f>IF(6&gt;horizon,0,M9+IF(6=horizon,produit_net_revente,0))</f>
        <v/>
      </c>
    </row>
    <row r="10">
      <c r="A10" s="37" t="n">
        <v>7</v>
      </c>
      <c r="B10" s="38">
        <f>loyer_hc*12*(1+reval_loyer)^(7-1)</f>
        <v/>
      </c>
      <c r="C10" s="38">
        <f>B10*(1-vacance_pct-impayes_pct)</f>
        <v/>
      </c>
      <c r="D10" s="38">
        <f>(taxe_fonciere+assurance_pno+charges_copro+comptabilite+cfe)*(1+reval_charges)^(7-1)+gli_pct*C10+gestion_pct*B10+entretien_pct*C10</f>
        <v/>
      </c>
      <c r="E10" s="38">
        <f>SUMIFS(Amortissement!$D$4:$D$363,Amortissement!$B$4:$B$363,A10)</f>
        <v/>
      </c>
      <c r="F10" s="38">
        <f>SUMIFS(Amortissement!$E$4:$E$363,Amortissement!$B$4:$B$363,A10)</f>
        <v/>
      </c>
      <c r="G10" s="38">
        <f>SUMIFS(Amortissement!$F$4:$F$363,Amortissement!$B$4:$B$363,A10)</f>
        <v/>
      </c>
      <c r="H10" s="38">
        <f>E10+F10+G10</f>
        <v/>
      </c>
      <c r="I10" s="38">
        <f>C10-D10-H10</f>
        <v/>
      </c>
      <c r="J10" s="38">
        <f>MAX(0,MIN(P10+Q10,MAX(0,S10)))</f>
        <v/>
      </c>
      <c r="K10" s="38">
        <f>IF(regime_proj="Micro-foncier (nu)",C10*0.7,IF(regime_proj="Réel foncier (nu)",S10,IF(regime_proj="Micro-BIC (meublé)",C10*0.5,MAX(0,S10-J10))))</f>
        <v/>
      </c>
      <c r="L10" s="38">
        <f>IF(K10&gt;=0,K10*(tmi+ps_pct),MAX(K10,-10700)*tmi)</f>
        <v/>
      </c>
      <c r="M10" s="38">
        <f>I10-L10</f>
        <v/>
      </c>
      <c r="N10" s="38">
        <f>N9+M10</f>
        <v/>
      </c>
      <c r="P10" s="39">
        <f>IF(7&lt;=duree_bati,prix_bien*(1-terrain_pct)/duree_bati,0)+IF(7&lt;=duree_meubles,meubles/duree_meubles,0)+IF(7&lt;=duree_travaux_amort,travaux/duree_travaux_amort,0)</f>
        <v/>
      </c>
      <c r="Q10" s="39">
        <f>R9</f>
        <v/>
      </c>
      <c r="R10" s="39">
        <f>Q10+P10-J10</f>
        <v/>
      </c>
      <c r="S10" s="39">
        <f>C10-D10-E10</f>
        <v/>
      </c>
      <c r="T10" s="39">
        <f>IF(7&gt;horizon,0,M10+IF(7=horizon,produit_net_revente,0))</f>
        <v/>
      </c>
    </row>
    <row r="11">
      <c r="A11" s="40" t="n">
        <v>8</v>
      </c>
      <c r="B11" s="41">
        <f>loyer_hc*12*(1+reval_loyer)^(8-1)</f>
        <v/>
      </c>
      <c r="C11" s="41">
        <f>B11*(1-vacance_pct-impayes_pct)</f>
        <v/>
      </c>
      <c r="D11" s="41">
        <f>(taxe_fonciere+assurance_pno+charges_copro+comptabilite+cfe)*(1+reval_charges)^(8-1)+gli_pct*C11+gestion_pct*B11+entretien_pct*C11</f>
        <v/>
      </c>
      <c r="E11" s="41">
        <f>SUMIFS(Amortissement!$D$4:$D$363,Amortissement!$B$4:$B$363,A11)</f>
        <v/>
      </c>
      <c r="F11" s="41">
        <f>SUMIFS(Amortissement!$E$4:$E$363,Amortissement!$B$4:$B$363,A11)</f>
        <v/>
      </c>
      <c r="G11" s="41">
        <f>SUMIFS(Amortissement!$F$4:$F$363,Amortissement!$B$4:$B$363,A11)</f>
        <v/>
      </c>
      <c r="H11" s="41">
        <f>E11+F11+G11</f>
        <v/>
      </c>
      <c r="I11" s="41">
        <f>C11-D11-H11</f>
        <v/>
      </c>
      <c r="J11" s="41">
        <f>MAX(0,MIN(P11+Q11,MAX(0,S11)))</f>
        <v/>
      </c>
      <c r="K11" s="41">
        <f>IF(regime_proj="Micro-foncier (nu)",C11*0.7,IF(regime_proj="Réel foncier (nu)",S11,IF(regime_proj="Micro-BIC (meublé)",C11*0.5,MAX(0,S11-J11))))</f>
        <v/>
      </c>
      <c r="L11" s="41">
        <f>IF(K11&gt;=0,K11*(tmi+ps_pct),MAX(K11,-10700)*tmi)</f>
        <v/>
      </c>
      <c r="M11" s="41">
        <f>I11-L11</f>
        <v/>
      </c>
      <c r="N11" s="41">
        <f>N10+M11</f>
        <v/>
      </c>
      <c r="P11" s="39">
        <f>IF(8&lt;=duree_bati,prix_bien*(1-terrain_pct)/duree_bati,0)+IF(8&lt;=duree_meubles,meubles/duree_meubles,0)+IF(8&lt;=duree_travaux_amort,travaux/duree_travaux_amort,0)</f>
        <v/>
      </c>
      <c r="Q11" s="39">
        <f>R10</f>
        <v/>
      </c>
      <c r="R11" s="39">
        <f>Q11+P11-J11</f>
        <v/>
      </c>
      <c r="S11" s="39">
        <f>C11-D11-E11</f>
        <v/>
      </c>
      <c r="T11" s="39">
        <f>IF(8&gt;horizon,0,M11+IF(8=horizon,produit_net_revente,0))</f>
        <v/>
      </c>
    </row>
    <row r="12">
      <c r="A12" s="37" t="n">
        <v>9</v>
      </c>
      <c r="B12" s="38">
        <f>loyer_hc*12*(1+reval_loyer)^(9-1)</f>
        <v/>
      </c>
      <c r="C12" s="38">
        <f>B12*(1-vacance_pct-impayes_pct)</f>
        <v/>
      </c>
      <c r="D12" s="38">
        <f>(taxe_fonciere+assurance_pno+charges_copro+comptabilite+cfe)*(1+reval_charges)^(9-1)+gli_pct*C12+gestion_pct*B12+entretien_pct*C12</f>
        <v/>
      </c>
      <c r="E12" s="38">
        <f>SUMIFS(Amortissement!$D$4:$D$363,Amortissement!$B$4:$B$363,A12)</f>
        <v/>
      </c>
      <c r="F12" s="38">
        <f>SUMIFS(Amortissement!$E$4:$E$363,Amortissement!$B$4:$B$363,A12)</f>
        <v/>
      </c>
      <c r="G12" s="38">
        <f>SUMIFS(Amortissement!$F$4:$F$363,Amortissement!$B$4:$B$363,A12)</f>
        <v/>
      </c>
      <c r="H12" s="38">
        <f>E12+F12+G12</f>
        <v/>
      </c>
      <c r="I12" s="38">
        <f>C12-D12-H12</f>
        <v/>
      </c>
      <c r="J12" s="38">
        <f>MAX(0,MIN(P12+Q12,MAX(0,S12)))</f>
        <v/>
      </c>
      <c r="K12" s="38">
        <f>IF(regime_proj="Micro-foncier (nu)",C12*0.7,IF(regime_proj="Réel foncier (nu)",S12,IF(regime_proj="Micro-BIC (meublé)",C12*0.5,MAX(0,S12-J12))))</f>
        <v/>
      </c>
      <c r="L12" s="38">
        <f>IF(K12&gt;=0,K12*(tmi+ps_pct),MAX(K12,-10700)*tmi)</f>
        <v/>
      </c>
      <c r="M12" s="38">
        <f>I12-L12</f>
        <v/>
      </c>
      <c r="N12" s="38">
        <f>N11+M12</f>
        <v/>
      </c>
      <c r="P12" s="39">
        <f>IF(9&lt;=duree_bati,prix_bien*(1-terrain_pct)/duree_bati,0)+IF(9&lt;=duree_meubles,meubles/duree_meubles,0)+IF(9&lt;=duree_travaux_amort,travaux/duree_travaux_amort,0)</f>
        <v/>
      </c>
      <c r="Q12" s="39">
        <f>R11</f>
        <v/>
      </c>
      <c r="R12" s="39">
        <f>Q12+P12-J12</f>
        <v/>
      </c>
      <c r="S12" s="39">
        <f>C12-D12-E12</f>
        <v/>
      </c>
      <c r="T12" s="39">
        <f>IF(9&gt;horizon,0,M12+IF(9=horizon,produit_net_revente,0))</f>
        <v/>
      </c>
    </row>
    <row r="13">
      <c r="A13" s="40" t="n">
        <v>10</v>
      </c>
      <c r="B13" s="41">
        <f>loyer_hc*12*(1+reval_loyer)^(10-1)</f>
        <v/>
      </c>
      <c r="C13" s="41">
        <f>B13*(1-vacance_pct-impayes_pct)</f>
        <v/>
      </c>
      <c r="D13" s="41">
        <f>(taxe_fonciere+assurance_pno+charges_copro+comptabilite+cfe)*(1+reval_charges)^(10-1)+gli_pct*C13+gestion_pct*B13+entretien_pct*C13</f>
        <v/>
      </c>
      <c r="E13" s="41">
        <f>SUMIFS(Amortissement!$D$4:$D$363,Amortissement!$B$4:$B$363,A13)</f>
        <v/>
      </c>
      <c r="F13" s="41">
        <f>SUMIFS(Amortissement!$E$4:$E$363,Amortissement!$B$4:$B$363,A13)</f>
        <v/>
      </c>
      <c r="G13" s="41">
        <f>SUMIFS(Amortissement!$F$4:$F$363,Amortissement!$B$4:$B$363,A13)</f>
        <v/>
      </c>
      <c r="H13" s="41">
        <f>E13+F13+G13</f>
        <v/>
      </c>
      <c r="I13" s="41">
        <f>C13-D13-H13</f>
        <v/>
      </c>
      <c r="J13" s="41">
        <f>MAX(0,MIN(P13+Q13,MAX(0,S13)))</f>
        <v/>
      </c>
      <c r="K13" s="41">
        <f>IF(regime_proj="Micro-foncier (nu)",C13*0.7,IF(regime_proj="Réel foncier (nu)",S13,IF(regime_proj="Micro-BIC (meublé)",C13*0.5,MAX(0,S13-J13))))</f>
        <v/>
      </c>
      <c r="L13" s="41">
        <f>IF(K13&gt;=0,K13*(tmi+ps_pct),MAX(K13,-10700)*tmi)</f>
        <v/>
      </c>
      <c r="M13" s="41">
        <f>I13-L13</f>
        <v/>
      </c>
      <c r="N13" s="41">
        <f>N12+M13</f>
        <v/>
      </c>
      <c r="P13" s="39">
        <f>IF(10&lt;=duree_bati,prix_bien*(1-terrain_pct)/duree_bati,0)+IF(10&lt;=duree_meubles,meubles/duree_meubles,0)+IF(10&lt;=duree_travaux_amort,travaux/duree_travaux_amort,0)</f>
        <v/>
      </c>
      <c r="Q13" s="39">
        <f>R12</f>
        <v/>
      </c>
      <c r="R13" s="39">
        <f>Q13+P13-J13</f>
        <v/>
      </c>
      <c r="S13" s="39">
        <f>C13-D13-E13</f>
        <v/>
      </c>
      <c r="T13" s="39">
        <f>IF(10&gt;horizon,0,M13+IF(10=horizon,produit_net_revente,0))</f>
        <v/>
      </c>
    </row>
    <row r="14">
      <c r="A14" s="37" t="n">
        <v>11</v>
      </c>
      <c r="B14" s="38">
        <f>loyer_hc*12*(1+reval_loyer)^(11-1)</f>
        <v/>
      </c>
      <c r="C14" s="38">
        <f>B14*(1-vacance_pct-impayes_pct)</f>
        <v/>
      </c>
      <c r="D14" s="38">
        <f>(taxe_fonciere+assurance_pno+charges_copro+comptabilite+cfe)*(1+reval_charges)^(11-1)+gli_pct*C14+gestion_pct*B14+entretien_pct*C14</f>
        <v/>
      </c>
      <c r="E14" s="38">
        <f>SUMIFS(Amortissement!$D$4:$D$363,Amortissement!$B$4:$B$363,A14)</f>
        <v/>
      </c>
      <c r="F14" s="38">
        <f>SUMIFS(Amortissement!$E$4:$E$363,Amortissement!$B$4:$B$363,A14)</f>
        <v/>
      </c>
      <c r="G14" s="38">
        <f>SUMIFS(Amortissement!$F$4:$F$363,Amortissement!$B$4:$B$363,A14)</f>
        <v/>
      </c>
      <c r="H14" s="38">
        <f>E14+F14+G14</f>
        <v/>
      </c>
      <c r="I14" s="38">
        <f>C14-D14-H14</f>
        <v/>
      </c>
      <c r="J14" s="38">
        <f>MAX(0,MIN(P14+Q14,MAX(0,S14)))</f>
        <v/>
      </c>
      <c r="K14" s="38">
        <f>IF(regime_proj="Micro-foncier (nu)",C14*0.7,IF(regime_proj="Réel foncier (nu)",S14,IF(regime_proj="Micro-BIC (meublé)",C14*0.5,MAX(0,S14-J14))))</f>
        <v/>
      </c>
      <c r="L14" s="38">
        <f>IF(K14&gt;=0,K14*(tmi+ps_pct),MAX(K14,-10700)*tmi)</f>
        <v/>
      </c>
      <c r="M14" s="38">
        <f>I14-L14</f>
        <v/>
      </c>
      <c r="N14" s="38">
        <f>N13+M14</f>
        <v/>
      </c>
      <c r="P14" s="39">
        <f>IF(11&lt;=duree_bati,prix_bien*(1-terrain_pct)/duree_bati,0)+IF(11&lt;=duree_meubles,meubles/duree_meubles,0)+IF(11&lt;=duree_travaux_amort,travaux/duree_travaux_amort,0)</f>
        <v/>
      </c>
      <c r="Q14" s="39">
        <f>R13</f>
        <v/>
      </c>
      <c r="R14" s="39">
        <f>Q14+P14-J14</f>
        <v/>
      </c>
      <c r="S14" s="39">
        <f>C14-D14-E14</f>
        <v/>
      </c>
      <c r="T14" s="39">
        <f>IF(11&gt;horizon,0,M14+IF(11=horizon,produit_net_revente,0))</f>
        <v/>
      </c>
    </row>
    <row r="15">
      <c r="A15" s="40" t="n">
        <v>12</v>
      </c>
      <c r="B15" s="41">
        <f>loyer_hc*12*(1+reval_loyer)^(12-1)</f>
        <v/>
      </c>
      <c r="C15" s="41">
        <f>B15*(1-vacance_pct-impayes_pct)</f>
        <v/>
      </c>
      <c r="D15" s="41">
        <f>(taxe_fonciere+assurance_pno+charges_copro+comptabilite+cfe)*(1+reval_charges)^(12-1)+gli_pct*C15+gestion_pct*B15+entretien_pct*C15</f>
        <v/>
      </c>
      <c r="E15" s="41">
        <f>SUMIFS(Amortissement!$D$4:$D$363,Amortissement!$B$4:$B$363,A15)</f>
        <v/>
      </c>
      <c r="F15" s="41">
        <f>SUMIFS(Amortissement!$E$4:$E$363,Amortissement!$B$4:$B$363,A15)</f>
        <v/>
      </c>
      <c r="G15" s="41">
        <f>SUMIFS(Amortissement!$F$4:$F$363,Amortissement!$B$4:$B$363,A15)</f>
        <v/>
      </c>
      <c r="H15" s="41">
        <f>E15+F15+G15</f>
        <v/>
      </c>
      <c r="I15" s="41">
        <f>C15-D15-H15</f>
        <v/>
      </c>
      <c r="J15" s="41">
        <f>MAX(0,MIN(P15+Q15,MAX(0,S15)))</f>
        <v/>
      </c>
      <c r="K15" s="41">
        <f>IF(regime_proj="Micro-foncier (nu)",C15*0.7,IF(regime_proj="Réel foncier (nu)",S15,IF(regime_proj="Micro-BIC (meublé)",C15*0.5,MAX(0,S15-J15))))</f>
        <v/>
      </c>
      <c r="L15" s="41">
        <f>IF(K15&gt;=0,K15*(tmi+ps_pct),MAX(K15,-10700)*tmi)</f>
        <v/>
      </c>
      <c r="M15" s="41">
        <f>I15-L15</f>
        <v/>
      </c>
      <c r="N15" s="41">
        <f>N14+M15</f>
        <v/>
      </c>
      <c r="P15" s="39">
        <f>IF(12&lt;=duree_bati,prix_bien*(1-terrain_pct)/duree_bati,0)+IF(12&lt;=duree_meubles,meubles/duree_meubles,0)+IF(12&lt;=duree_travaux_amort,travaux/duree_travaux_amort,0)</f>
        <v/>
      </c>
      <c r="Q15" s="39">
        <f>R14</f>
        <v/>
      </c>
      <c r="R15" s="39">
        <f>Q15+P15-J15</f>
        <v/>
      </c>
      <c r="S15" s="39">
        <f>C15-D15-E15</f>
        <v/>
      </c>
      <c r="T15" s="39">
        <f>IF(12&gt;horizon,0,M15+IF(12=horizon,produit_net_revente,0))</f>
        <v/>
      </c>
    </row>
    <row r="16">
      <c r="A16" s="37" t="n">
        <v>13</v>
      </c>
      <c r="B16" s="38">
        <f>loyer_hc*12*(1+reval_loyer)^(13-1)</f>
        <v/>
      </c>
      <c r="C16" s="38">
        <f>B16*(1-vacance_pct-impayes_pct)</f>
        <v/>
      </c>
      <c r="D16" s="38">
        <f>(taxe_fonciere+assurance_pno+charges_copro+comptabilite+cfe)*(1+reval_charges)^(13-1)+gli_pct*C16+gestion_pct*B16+entretien_pct*C16</f>
        <v/>
      </c>
      <c r="E16" s="38">
        <f>SUMIFS(Amortissement!$D$4:$D$363,Amortissement!$B$4:$B$363,A16)</f>
        <v/>
      </c>
      <c r="F16" s="38">
        <f>SUMIFS(Amortissement!$E$4:$E$363,Amortissement!$B$4:$B$363,A16)</f>
        <v/>
      </c>
      <c r="G16" s="38">
        <f>SUMIFS(Amortissement!$F$4:$F$363,Amortissement!$B$4:$B$363,A16)</f>
        <v/>
      </c>
      <c r="H16" s="38">
        <f>E16+F16+G16</f>
        <v/>
      </c>
      <c r="I16" s="38">
        <f>C16-D16-H16</f>
        <v/>
      </c>
      <c r="J16" s="38">
        <f>MAX(0,MIN(P16+Q16,MAX(0,S16)))</f>
        <v/>
      </c>
      <c r="K16" s="38">
        <f>IF(regime_proj="Micro-foncier (nu)",C16*0.7,IF(regime_proj="Réel foncier (nu)",S16,IF(regime_proj="Micro-BIC (meublé)",C16*0.5,MAX(0,S16-J16))))</f>
        <v/>
      </c>
      <c r="L16" s="38">
        <f>IF(K16&gt;=0,K16*(tmi+ps_pct),MAX(K16,-10700)*tmi)</f>
        <v/>
      </c>
      <c r="M16" s="38">
        <f>I16-L16</f>
        <v/>
      </c>
      <c r="N16" s="38">
        <f>N15+M16</f>
        <v/>
      </c>
      <c r="P16" s="39">
        <f>IF(13&lt;=duree_bati,prix_bien*(1-terrain_pct)/duree_bati,0)+IF(13&lt;=duree_meubles,meubles/duree_meubles,0)+IF(13&lt;=duree_travaux_amort,travaux/duree_travaux_amort,0)</f>
        <v/>
      </c>
      <c r="Q16" s="39">
        <f>R15</f>
        <v/>
      </c>
      <c r="R16" s="39">
        <f>Q16+P16-J16</f>
        <v/>
      </c>
      <c r="S16" s="39">
        <f>C16-D16-E16</f>
        <v/>
      </c>
      <c r="T16" s="39">
        <f>IF(13&gt;horizon,0,M16+IF(13=horizon,produit_net_revente,0))</f>
        <v/>
      </c>
    </row>
    <row r="17">
      <c r="A17" s="40" t="n">
        <v>14</v>
      </c>
      <c r="B17" s="41">
        <f>loyer_hc*12*(1+reval_loyer)^(14-1)</f>
        <v/>
      </c>
      <c r="C17" s="41">
        <f>B17*(1-vacance_pct-impayes_pct)</f>
        <v/>
      </c>
      <c r="D17" s="41">
        <f>(taxe_fonciere+assurance_pno+charges_copro+comptabilite+cfe)*(1+reval_charges)^(14-1)+gli_pct*C17+gestion_pct*B17+entretien_pct*C17</f>
        <v/>
      </c>
      <c r="E17" s="41">
        <f>SUMIFS(Amortissement!$D$4:$D$363,Amortissement!$B$4:$B$363,A17)</f>
        <v/>
      </c>
      <c r="F17" s="41">
        <f>SUMIFS(Amortissement!$E$4:$E$363,Amortissement!$B$4:$B$363,A17)</f>
        <v/>
      </c>
      <c r="G17" s="41">
        <f>SUMIFS(Amortissement!$F$4:$F$363,Amortissement!$B$4:$B$363,A17)</f>
        <v/>
      </c>
      <c r="H17" s="41">
        <f>E17+F17+G17</f>
        <v/>
      </c>
      <c r="I17" s="41">
        <f>C17-D17-H17</f>
        <v/>
      </c>
      <c r="J17" s="41">
        <f>MAX(0,MIN(P17+Q17,MAX(0,S17)))</f>
        <v/>
      </c>
      <c r="K17" s="41">
        <f>IF(regime_proj="Micro-foncier (nu)",C17*0.7,IF(regime_proj="Réel foncier (nu)",S17,IF(regime_proj="Micro-BIC (meublé)",C17*0.5,MAX(0,S17-J17))))</f>
        <v/>
      </c>
      <c r="L17" s="41">
        <f>IF(K17&gt;=0,K17*(tmi+ps_pct),MAX(K17,-10700)*tmi)</f>
        <v/>
      </c>
      <c r="M17" s="41">
        <f>I17-L17</f>
        <v/>
      </c>
      <c r="N17" s="41">
        <f>N16+M17</f>
        <v/>
      </c>
      <c r="P17" s="39">
        <f>IF(14&lt;=duree_bati,prix_bien*(1-terrain_pct)/duree_bati,0)+IF(14&lt;=duree_meubles,meubles/duree_meubles,0)+IF(14&lt;=duree_travaux_amort,travaux/duree_travaux_amort,0)</f>
        <v/>
      </c>
      <c r="Q17" s="39">
        <f>R16</f>
        <v/>
      </c>
      <c r="R17" s="39">
        <f>Q17+P17-J17</f>
        <v/>
      </c>
      <c r="S17" s="39">
        <f>C17-D17-E17</f>
        <v/>
      </c>
      <c r="T17" s="39">
        <f>IF(14&gt;horizon,0,M17+IF(14=horizon,produit_net_revente,0))</f>
        <v/>
      </c>
    </row>
    <row r="18">
      <c r="A18" s="37" t="n">
        <v>15</v>
      </c>
      <c r="B18" s="38">
        <f>loyer_hc*12*(1+reval_loyer)^(15-1)</f>
        <v/>
      </c>
      <c r="C18" s="38">
        <f>B18*(1-vacance_pct-impayes_pct)</f>
        <v/>
      </c>
      <c r="D18" s="38">
        <f>(taxe_fonciere+assurance_pno+charges_copro+comptabilite+cfe)*(1+reval_charges)^(15-1)+gli_pct*C18+gestion_pct*B18+entretien_pct*C18</f>
        <v/>
      </c>
      <c r="E18" s="38">
        <f>SUMIFS(Amortissement!$D$4:$D$363,Amortissement!$B$4:$B$363,A18)</f>
        <v/>
      </c>
      <c r="F18" s="38">
        <f>SUMIFS(Amortissement!$E$4:$E$363,Amortissement!$B$4:$B$363,A18)</f>
        <v/>
      </c>
      <c r="G18" s="38">
        <f>SUMIFS(Amortissement!$F$4:$F$363,Amortissement!$B$4:$B$363,A18)</f>
        <v/>
      </c>
      <c r="H18" s="38">
        <f>E18+F18+G18</f>
        <v/>
      </c>
      <c r="I18" s="38">
        <f>C18-D18-H18</f>
        <v/>
      </c>
      <c r="J18" s="38">
        <f>MAX(0,MIN(P18+Q18,MAX(0,S18)))</f>
        <v/>
      </c>
      <c r="K18" s="38">
        <f>IF(regime_proj="Micro-foncier (nu)",C18*0.7,IF(regime_proj="Réel foncier (nu)",S18,IF(regime_proj="Micro-BIC (meublé)",C18*0.5,MAX(0,S18-J18))))</f>
        <v/>
      </c>
      <c r="L18" s="38">
        <f>IF(K18&gt;=0,K18*(tmi+ps_pct),MAX(K18,-10700)*tmi)</f>
        <v/>
      </c>
      <c r="M18" s="38">
        <f>I18-L18</f>
        <v/>
      </c>
      <c r="N18" s="38">
        <f>N17+M18</f>
        <v/>
      </c>
      <c r="P18" s="39">
        <f>IF(15&lt;=duree_bati,prix_bien*(1-terrain_pct)/duree_bati,0)+IF(15&lt;=duree_meubles,meubles/duree_meubles,0)+IF(15&lt;=duree_travaux_amort,travaux/duree_travaux_amort,0)</f>
        <v/>
      </c>
      <c r="Q18" s="39">
        <f>R17</f>
        <v/>
      </c>
      <c r="R18" s="39">
        <f>Q18+P18-J18</f>
        <v/>
      </c>
      <c r="S18" s="39">
        <f>C18-D18-E18</f>
        <v/>
      </c>
      <c r="T18" s="39">
        <f>IF(15&gt;horizon,0,M18+IF(15=horizon,produit_net_revente,0))</f>
        <v/>
      </c>
    </row>
    <row r="19">
      <c r="A19" s="40" t="n">
        <v>16</v>
      </c>
      <c r="B19" s="41">
        <f>loyer_hc*12*(1+reval_loyer)^(16-1)</f>
        <v/>
      </c>
      <c r="C19" s="41">
        <f>B19*(1-vacance_pct-impayes_pct)</f>
        <v/>
      </c>
      <c r="D19" s="41">
        <f>(taxe_fonciere+assurance_pno+charges_copro+comptabilite+cfe)*(1+reval_charges)^(16-1)+gli_pct*C19+gestion_pct*B19+entretien_pct*C19</f>
        <v/>
      </c>
      <c r="E19" s="41">
        <f>SUMIFS(Amortissement!$D$4:$D$363,Amortissement!$B$4:$B$363,A19)</f>
        <v/>
      </c>
      <c r="F19" s="41">
        <f>SUMIFS(Amortissement!$E$4:$E$363,Amortissement!$B$4:$B$363,A19)</f>
        <v/>
      </c>
      <c r="G19" s="41">
        <f>SUMIFS(Amortissement!$F$4:$F$363,Amortissement!$B$4:$B$363,A19)</f>
        <v/>
      </c>
      <c r="H19" s="41">
        <f>E19+F19+G19</f>
        <v/>
      </c>
      <c r="I19" s="41">
        <f>C19-D19-H19</f>
        <v/>
      </c>
      <c r="J19" s="41">
        <f>MAX(0,MIN(P19+Q19,MAX(0,S19)))</f>
        <v/>
      </c>
      <c r="K19" s="41">
        <f>IF(regime_proj="Micro-foncier (nu)",C19*0.7,IF(regime_proj="Réel foncier (nu)",S19,IF(regime_proj="Micro-BIC (meublé)",C19*0.5,MAX(0,S19-J19))))</f>
        <v/>
      </c>
      <c r="L19" s="41">
        <f>IF(K19&gt;=0,K19*(tmi+ps_pct),MAX(K19,-10700)*tmi)</f>
        <v/>
      </c>
      <c r="M19" s="41">
        <f>I19-L19</f>
        <v/>
      </c>
      <c r="N19" s="41">
        <f>N18+M19</f>
        <v/>
      </c>
      <c r="P19" s="39">
        <f>IF(16&lt;=duree_bati,prix_bien*(1-terrain_pct)/duree_bati,0)+IF(16&lt;=duree_meubles,meubles/duree_meubles,0)+IF(16&lt;=duree_travaux_amort,travaux/duree_travaux_amort,0)</f>
        <v/>
      </c>
      <c r="Q19" s="39">
        <f>R18</f>
        <v/>
      </c>
      <c r="R19" s="39">
        <f>Q19+P19-J19</f>
        <v/>
      </c>
      <c r="S19" s="39">
        <f>C19-D19-E19</f>
        <v/>
      </c>
      <c r="T19" s="39">
        <f>IF(16&gt;horizon,0,M19+IF(16=horizon,produit_net_revente,0))</f>
        <v/>
      </c>
    </row>
    <row r="20">
      <c r="A20" s="37" t="n">
        <v>17</v>
      </c>
      <c r="B20" s="38">
        <f>loyer_hc*12*(1+reval_loyer)^(17-1)</f>
        <v/>
      </c>
      <c r="C20" s="38">
        <f>B20*(1-vacance_pct-impayes_pct)</f>
        <v/>
      </c>
      <c r="D20" s="38">
        <f>(taxe_fonciere+assurance_pno+charges_copro+comptabilite+cfe)*(1+reval_charges)^(17-1)+gli_pct*C20+gestion_pct*B20+entretien_pct*C20</f>
        <v/>
      </c>
      <c r="E20" s="38">
        <f>SUMIFS(Amortissement!$D$4:$D$363,Amortissement!$B$4:$B$363,A20)</f>
        <v/>
      </c>
      <c r="F20" s="38">
        <f>SUMIFS(Amortissement!$E$4:$E$363,Amortissement!$B$4:$B$363,A20)</f>
        <v/>
      </c>
      <c r="G20" s="38">
        <f>SUMIFS(Amortissement!$F$4:$F$363,Amortissement!$B$4:$B$363,A20)</f>
        <v/>
      </c>
      <c r="H20" s="38">
        <f>E20+F20+G20</f>
        <v/>
      </c>
      <c r="I20" s="38">
        <f>C20-D20-H20</f>
        <v/>
      </c>
      <c r="J20" s="38">
        <f>MAX(0,MIN(P20+Q20,MAX(0,S20)))</f>
        <v/>
      </c>
      <c r="K20" s="38">
        <f>IF(regime_proj="Micro-foncier (nu)",C20*0.7,IF(regime_proj="Réel foncier (nu)",S20,IF(regime_proj="Micro-BIC (meublé)",C20*0.5,MAX(0,S20-J20))))</f>
        <v/>
      </c>
      <c r="L20" s="38">
        <f>IF(K20&gt;=0,K20*(tmi+ps_pct),MAX(K20,-10700)*tmi)</f>
        <v/>
      </c>
      <c r="M20" s="38">
        <f>I20-L20</f>
        <v/>
      </c>
      <c r="N20" s="38">
        <f>N19+M20</f>
        <v/>
      </c>
      <c r="P20" s="39">
        <f>IF(17&lt;=duree_bati,prix_bien*(1-terrain_pct)/duree_bati,0)+IF(17&lt;=duree_meubles,meubles/duree_meubles,0)+IF(17&lt;=duree_travaux_amort,travaux/duree_travaux_amort,0)</f>
        <v/>
      </c>
      <c r="Q20" s="39">
        <f>R19</f>
        <v/>
      </c>
      <c r="R20" s="39">
        <f>Q20+P20-J20</f>
        <v/>
      </c>
      <c r="S20" s="39">
        <f>C20-D20-E20</f>
        <v/>
      </c>
      <c r="T20" s="39">
        <f>IF(17&gt;horizon,0,M20+IF(17=horizon,produit_net_revente,0))</f>
        <v/>
      </c>
    </row>
    <row r="21">
      <c r="A21" s="40" t="n">
        <v>18</v>
      </c>
      <c r="B21" s="41">
        <f>loyer_hc*12*(1+reval_loyer)^(18-1)</f>
        <v/>
      </c>
      <c r="C21" s="41">
        <f>B21*(1-vacance_pct-impayes_pct)</f>
        <v/>
      </c>
      <c r="D21" s="41">
        <f>(taxe_fonciere+assurance_pno+charges_copro+comptabilite+cfe)*(1+reval_charges)^(18-1)+gli_pct*C21+gestion_pct*B21+entretien_pct*C21</f>
        <v/>
      </c>
      <c r="E21" s="41">
        <f>SUMIFS(Amortissement!$D$4:$D$363,Amortissement!$B$4:$B$363,A21)</f>
        <v/>
      </c>
      <c r="F21" s="41">
        <f>SUMIFS(Amortissement!$E$4:$E$363,Amortissement!$B$4:$B$363,A21)</f>
        <v/>
      </c>
      <c r="G21" s="41">
        <f>SUMIFS(Amortissement!$F$4:$F$363,Amortissement!$B$4:$B$363,A21)</f>
        <v/>
      </c>
      <c r="H21" s="41">
        <f>E21+F21+G21</f>
        <v/>
      </c>
      <c r="I21" s="41">
        <f>C21-D21-H21</f>
        <v/>
      </c>
      <c r="J21" s="41">
        <f>MAX(0,MIN(P21+Q21,MAX(0,S21)))</f>
        <v/>
      </c>
      <c r="K21" s="41">
        <f>IF(regime_proj="Micro-foncier (nu)",C21*0.7,IF(regime_proj="Réel foncier (nu)",S21,IF(regime_proj="Micro-BIC (meublé)",C21*0.5,MAX(0,S21-J21))))</f>
        <v/>
      </c>
      <c r="L21" s="41">
        <f>IF(K21&gt;=0,K21*(tmi+ps_pct),MAX(K21,-10700)*tmi)</f>
        <v/>
      </c>
      <c r="M21" s="41">
        <f>I21-L21</f>
        <v/>
      </c>
      <c r="N21" s="41">
        <f>N20+M21</f>
        <v/>
      </c>
      <c r="P21" s="39">
        <f>IF(18&lt;=duree_bati,prix_bien*(1-terrain_pct)/duree_bati,0)+IF(18&lt;=duree_meubles,meubles/duree_meubles,0)+IF(18&lt;=duree_travaux_amort,travaux/duree_travaux_amort,0)</f>
        <v/>
      </c>
      <c r="Q21" s="39">
        <f>R20</f>
        <v/>
      </c>
      <c r="R21" s="39">
        <f>Q21+P21-J21</f>
        <v/>
      </c>
      <c r="S21" s="39">
        <f>C21-D21-E21</f>
        <v/>
      </c>
      <c r="T21" s="39">
        <f>IF(18&gt;horizon,0,M21+IF(18=horizon,produit_net_revente,0))</f>
        <v/>
      </c>
    </row>
    <row r="22">
      <c r="A22" s="37" t="n">
        <v>19</v>
      </c>
      <c r="B22" s="38">
        <f>loyer_hc*12*(1+reval_loyer)^(19-1)</f>
        <v/>
      </c>
      <c r="C22" s="38">
        <f>B22*(1-vacance_pct-impayes_pct)</f>
        <v/>
      </c>
      <c r="D22" s="38">
        <f>(taxe_fonciere+assurance_pno+charges_copro+comptabilite+cfe)*(1+reval_charges)^(19-1)+gli_pct*C22+gestion_pct*B22+entretien_pct*C22</f>
        <v/>
      </c>
      <c r="E22" s="38">
        <f>SUMIFS(Amortissement!$D$4:$D$363,Amortissement!$B$4:$B$363,A22)</f>
        <v/>
      </c>
      <c r="F22" s="38">
        <f>SUMIFS(Amortissement!$E$4:$E$363,Amortissement!$B$4:$B$363,A22)</f>
        <v/>
      </c>
      <c r="G22" s="38">
        <f>SUMIFS(Amortissement!$F$4:$F$363,Amortissement!$B$4:$B$363,A22)</f>
        <v/>
      </c>
      <c r="H22" s="38">
        <f>E22+F22+G22</f>
        <v/>
      </c>
      <c r="I22" s="38">
        <f>C22-D22-H22</f>
        <v/>
      </c>
      <c r="J22" s="38">
        <f>MAX(0,MIN(P22+Q22,MAX(0,S22)))</f>
        <v/>
      </c>
      <c r="K22" s="38">
        <f>IF(regime_proj="Micro-foncier (nu)",C22*0.7,IF(regime_proj="Réel foncier (nu)",S22,IF(regime_proj="Micro-BIC (meublé)",C22*0.5,MAX(0,S22-J22))))</f>
        <v/>
      </c>
      <c r="L22" s="38">
        <f>IF(K22&gt;=0,K22*(tmi+ps_pct),MAX(K22,-10700)*tmi)</f>
        <v/>
      </c>
      <c r="M22" s="38">
        <f>I22-L22</f>
        <v/>
      </c>
      <c r="N22" s="38">
        <f>N21+M22</f>
        <v/>
      </c>
      <c r="P22" s="39">
        <f>IF(19&lt;=duree_bati,prix_bien*(1-terrain_pct)/duree_bati,0)+IF(19&lt;=duree_meubles,meubles/duree_meubles,0)+IF(19&lt;=duree_travaux_amort,travaux/duree_travaux_amort,0)</f>
        <v/>
      </c>
      <c r="Q22" s="39">
        <f>R21</f>
        <v/>
      </c>
      <c r="R22" s="39">
        <f>Q22+P22-J22</f>
        <v/>
      </c>
      <c r="S22" s="39">
        <f>C22-D22-E22</f>
        <v/>
      </c>
      <c r="T22" s="39">
        <f>IF(19&gt;horizon,0,M22+IF(19=horizon,produit_net_revente,0))</f>
        <v/>
      </c>
    </row>
    <row r="23">
      <c r="A23" s="40" t="n">
        <v>20</v>
      </c>
      <c r="B23" s="41">
        <f>loyer_hc*12*(1+reval_loyer)^(20-1)</f>
        <v/>
      </c>
      <c r="C23" s="41">
        <f>B23*(1-vacance_pct-impayes_pct)</f>
        <v/>
      </c>
      <c r="D23" s="41">
        <f>(taxe_fonciere+assurance_pno+charges_copro+comptabilite+cfe)*(1+reval_charges)^(20-1)+gli_pct*C23+gestion_pct*B23+entretien_pct*C23</f>
        <v/>
      </c>
      <c r="E23" s="41">
        <f>SUMIFS(Amortissement!$D$4:$D$363,Amortissement!$B$4:$B$363,A23)</f>
        <v/>
      </c>
      <c r="F23" s="41">
        <f>SUMIFS(Amortissement!$E$4:$E$363,Amortissement!$B$4:$B$363,A23)</f>
        <v/>
      </c>
      <c r="G23" s="41">
        <f>SUMIFS(Amortissement!$F$4:$F$363,Amortissement!$B$4:$B$363,A23)</f>
        <v/>
      </c>
      <c r="H23" s="41">
        <f>E23+F23+G23</f>
        <v/>
      </c>
      <c r="I23" s="41">
        <f>C23-D23-H23</f>
        <v/>
      </c>
      <c r="J23" s="41">
        <f>MAX(0,MIN(P23+Q23,MAX(0,S23)))</f>
        <v/>
      </c>
      <c r="K23" s="41">
        <f>IF(regime_proj="Micro-foncier (nu)",C23*0.7,IF(regime_proj="Réel foncier (nu)",S23,IF(regime_proj="Micro-BIC (meublé)",C23*0.5,MAX(0,S23-J23))))</f>
        <v/>
      </c>
      <c r="L23" s="41">
        <f>IF(K23&gt;=0,K23*(tmi+ps_pct),MAX(K23,-10700)*tmi)</f>
        <v/>
      </c>
      <c r="M23" s="41">
        <f>I23-L23</f>
        <v/>
      </c>
      <c r="N23" s="41">
        <f>N22+M23</f>
        <v/>
      </c>
      <c r="P23" s="39">
        <f>IF(20&lt;=duree_bati,prix_bien*(1-terrain_pct)/duree_bati,0)+IF(20&lt;=duree_meubles,meubles/duree_meubles,0)+IF(20&lt;=duree_travaux_amort,travaux/duree_travaux_amort,0)</f>
        <v/>
      </c>
      <c r="Q23" s="39">
        <f>R22</f>
        <v/>
      </c>
      <c r="R23" s="39">
        <f>Q23+P23-J23</f>
        <v/>
      </c>
      <c r="S23" s="39">
        <f>C23-D23-E23</f>
        <v/>
      </c>
      <c r="T23" s="39">
        <f>IF(20&gt;horizon,0,M23+IF(20=horizon,produit_net_revente,0))</f>
        <v/>
      </c>
    </row>
    <row r="24">
      <c r="A24" s="37" t="n">
        <v>21</v>
      </c>
      <c r="B24" s="38">
        <f>loyer_hc*12*(1+reval_loyer)^(21-1)</f>
        <v/>
      </c>
      <c r="C24" s="38">
        <f>B24*(1-vacance_pct-impayes_pct)</f>
        <v/>
      </c>
      <c r="D24" s="38">
        <f>(taxe_fonciere+assurance_pno+charges_copro+comptabilite+cfe)*(1+reval_charges)^(21-1)+gli_pct*C24+gestion_pct*B24+entretien_pct*C24</f>
        <v/>
      </c>
      <c r="E24" s="38">
        <f>SUMIFS(Amortissement!$D$4:$D$363,Amortissement!$B$4:$B$363,A24)</f>
        <v/>
      </c>
      <c r="F24" s="38">
        <f>SUMIFS(Amortissement!$E$4:$E$363,Amortissement!$B$4:$B$363,A24)</f>
        <v/>
      </c>
      <c r="G24" s="38">
        <f>SUMIFS(Amortissement!$F$4:$F$363,Amortissement!$B$4:$B$363,A24)</f>
        <v/>
      </c>
      <c r="H24" s="38">
        <f>E24+F24+G24</f>
        <v/>
      </c>
      <c r="I24" s="38">
        <f>C24-D24-H24</f>
        <v/>
      </c>
      <c r="J24" s="38">
        <f>MAX(0,MIN(P24+Q24,MAX(0,S24)))</f>
        <v/>
      </c>
      <c r="K24" s="38">
        <f>IF(regime_proj="Micro-foncier (nu)",C24*0.7,IF(regime_proj="Réel foncier (nu)",S24,IF(regime_proj="Micro-BIC (meublé)",C24*0.5,MAX(0,S24-J24))))</f>
        <v/>
      </c>
      <c r="L24" s="38">
        <f>IF(K24&gt;=0,K24*(tmi+ps_pct),MAX(K24,-10700)*tmi)</f>
        <v/>
      </c>
      <c r="M24" s="38">
        <f>I24-L24</f>
        <v/>
      </c>
      <c r="N24" s="38">
        <f>N23+M24</f>
        <v/>
      </c>
      <c r="P24" s="39">
        <f>IF(21&lt;=duree_bati,prix_bien*(1-terrain_pct)/duree_bati,0)+IF(21&lt;=duree_meubles,meubles/duree_meubles,0)+IF(21&lt;=duree_travaux_amort,travaux/duree_travaux_amort,0)</f>
        <v/>
      </c>
      <c r="Q24" s="39">
        <f>R23</f>
        <v/>
      </c>
      <c r="R24" s="39">
        <f>Q24+P24-J24</f>
        <v/>
      </c>
      <c r="S24" s="39">
        <f>C24-D24-E24</f>
        <v/>
      </c>
      <c r="T24" s="39">
        <f>IF(21&gt;horizon,0,M24+IF(21=horizon,produit_net_revente,0))</f>
        <v/>
      </c>
    </row>
    <row r="25">
      <c r="A25" s="40" t="n">
        <v>22</v>
      </c>
      <c r="B25" s="41">
        <f>loyer_hc*12*(1+reval_loyer)^(22-1)</f>
        <v/>
      </c>
      <c r="C25" s="41">
        <f>B25*(1-vacance_pct-impayes_pct)</f>
        <v/>
      </c>
      <c r="D25" s="41">
        <f>(taxe_fonciere+assurance_pno+charges_copro+comptabilite+cfe)*(1+reval_charges)^(22-1)+gli_pct*C25+gestion_pct*B25+entretien_pct*C25</f>
        <v/>
      </c>
      <c r="E25" s="41">
        <f>SUMIFS(Amortissement!$D$4:$D$363,Amortissement!$B$4:$B$363,A25)</f>
        <v/>
      </c>
      <c r="F25" s="41">
        <f>SUMIFS(Amortissement!$E$4:$E$363,Amortissement!$B$4:$B$363,A25)</f>
        <v/>
      </c>
      <c r="G25" s="41">
        <f>SUMIFS(Amortissement!$F$4:$F$363,Amortissement!$B$4:$B$363,A25)</f>
        <v/>
      </c>
      <c r="H25" s="41">
        <f>E25+F25+G25</f>
        <v/>
      </c>
      <c r="I25" s="41">
        <f>C25-D25-H25</f>
        <v/>
      </c>
      <c r="J25" s="41">
        <f>MAX(0,MIN(P25+Q25,MAX(0,S25)))</f>
        <v/>
      </c>
      <c r="K25" s="41">
        <f>IF(regime_proj="Micro-foncier (nu)",C25*0.7,IF(regime_proj="Réel foncier (nu)",S25,IF(regime_proj="Micro-BIC (meublé)",C25*0.5,MAX(0,S25-J25))))</f>
        <v/>
      </c>
      <c r="L25" s="41">
        <f>IF(K25&gt;=0,K25*(tmi+ps_pct),MAX(K25,-10700)*tmi)</f>
        <v/>
      </c>
      <c r="M25" s="41">
        <f>I25-L25</f>
        <v/>
      </c>
      <c r="N25" s="41">
        <f>N24+M25</f>
        <v/>
      </c>
      <c r="P25" s="39">
        <f>IF(22&lt;=duree_bati,prix_bien*(1-terrain_pct)/duree_bati,0)+IF(22&lt;=duree_meubles,meubles/duree_meubles,0)+IF(22&lt;=duree_travaux_amort,travaux/duree_travaux_amort,0)</f>
        <v/>
      </c>
      <c r="Q25" s="39">
        <f>R24</f>
        <v/>
      </c>
      <c r="R25" s="39">
        <f>Q25+P25-J25</f>
        <v/>
      </c>
      <c r="S25" s="39">
        <f>C25-D25-E25</f>
        <v/>
      </c>
      <c r="T25" s="39">
        <f>IF(22&gt;horizon,0,M25+IF(22=horizon,produit_net_revente,0))</f>
        <v/>
      </c>
    </row>
    <row r="26">
      <c r="A26" s="37" t="n">
        <v>23</v>
      </c>
      <c r="B26" s="38">
        <f>loyer_hc*12*(1+reval_loyer)^(23-1)</f>
        <v/>
      </c>
      <c r="C26" s="38">
        <f>B26*(1-vacance_pct-impayes_pct)</f>
        <v/>
      </c>
      <c r="D26" s="38">
        <f>(taxe_fonciere+assurance_pno+charges_copro+comptabilite+cfe)*(1+reval_charges)^(23-1)+gli_pct*C26+gestion_pct*B26+entretien_pct*C26</f>
        <v/>
      </c>
      <c r="E26" s="38">
        <f>SUMIFS(Amortissement!$D$4:$D$363,Amortissement!$B$4:$B$363,A26)</f>
        <v/>
      </c>
      <c r="F26" s="38">
        <f>SUMIFS(Amortissement!$E$4:$E$363,Amortissement!$B$4:$B$363,A26)</f>
        <v/>
      </c>
      <c r="G26" s="38">
        <f>SUMIFS(Amortissement!$F$4:$F$363,Amortissement!$B$4:$B$363,A26)</f>
        <v/>
      </c>
      <c r="H26" s="38">
        <f>E26+F26+G26</f>
        <v/>
      </c>
      <c r="I26" s="38">
        <f>C26-D26-H26</f>
        <v/>
      </c>
      <c r="J26" s="38">
        <f>MAX(0,MIN(P26+Q26,MAX(0,S26)))</f>
        <v/>
      </c>
      <c r="K26" s="38">
        <f>IF(regime_proj="Micro-foncier (nu)",C26*0.7,IF(regime_proj="Réel foncier (nu)",S26,IF(regime_proj="Micro-BIC (meublé)",C26*0.5,MAX(0,S26-J26))))</f>
        <v/>
      </c>
      <c r="L26" s="38">
        <f>IF(K26&gt;=0,K26*(tmi+ps_pct),MAX(K26,-10700)*tmi)</f>
        <v/>
      </c>
      <c r="M26" s="38">
        <f>I26-L26</f>
        <v/>
      </c>
      <c r="N26" s="38">
        <f>N25+M26</f>
        <v/>
      </c>
      <c r="P26" s="39">
        <f>IF(23&lt;=duree_bati,prix_bien*(1-terrain_pct)/duree_bati,0)+IF(23&lt;=duree_meubles,meubles/duree_meubles,0)+IF(23&lt;=duree_travaux_amort,travaux/duree_travaux_amort,0)</f>
        <v/>
      </c>
      <c r="Q26" s="39">
        <f>R25</f>
        <v/>
      </c>
      <c r="R26" s="39">
        <f>Q26+P26-J26</f>
        <v/>
      </c>
      <c r="S26" s="39">
        <f>C26-D26-E26</f>
        <v/>
      </c>
      <c r="T26" s="39">
        <f>IF(23&gt;horizon,0,M26+IF(23=horizon,produit_net_revente,0))</f>
        <v/>
      </c>
    </row>
    <row r="27">
      <c r="A27" s="40" t="n">
        <v>24</v>
      </c>
      <c r="B27" s="41">
        <f>loyer_hc*12*(1+reval_loyer)^(24-1)</f>
        <v/>
      </c>
      <c r="C27" s="41">
        <f>B27*(1-vacance_pct-impayes_pct)</f>
        <v/>
      </c>
      <c r="D27" s="41">
        <f>(taxe_fonciere+assurance_pno+charges_copro+comptabilite+cfe)*(1+reval_charges)^(24-1)+gli_pct*C27+gestion_pct*B27+entretien_pct*C27</f>
        <v/>
      </c>
      <c r="E27" s="41">
        <f>SUMIFS(Amortissement!$D$4:$D$363,Amortissement!$B$4:$B$363,A27)</f>
        <v/>
      </c>
      <c r="F27" s="41">
        <f>SUMIFS(Amortissement!$E$4:$E$363,Amortissement!$B$4:$B$363,A27)</f>
        <v/>
      </c>
      <c r="G27" s="41">
        <f>SUMIFS(Amortissement!$F$4:$F$363,Amortissement!$B$4:$B$363,A27)</f>
        <v/>
      </c>
      <c r="H27" s="41">
        <f>E27+F27+G27</f>
        <v/>
      </c>
      <c r="I27" s="41">
        <f>C27-D27-H27</f>
        <v/>
      </c>
      <c r="J27" s="41">
        <f>MAX(0,MIN(P27+Q27,MAX(0,S27)))</f>
        <v/>
      </c>
      <c r="K27" s="41">
        <f>IF(regime_proj="Micro-foncier (nu)",C27*0.7,IF(regime_proj="Réel foncier (nu)",S27,IF(regime_proj="Micro-BIC (meublé)",C27*0.5,MAX(0,S27-J27))))</f>
        <v/>
      </c>
      <c r="L27" s="41">
        <f>IF(K27&gt;=0,K27*(tmi+ps_pct),MAX(K27,-10700)*tmi)</f>
        <v/>
      </c>
      <c r="M27" s="41">
        <f>I27-L27</f>
        <v/>
      </c>
      <c r="N27" s="41">
        <f>N26+M27</f>
        <v/>
      </c>
      <c r="P27" s="39">
        <f>IF(24&lt;=duree_bati,prix_bien*(1-terrain_pct)/duree_bati,0)+IF(24&lt;=duree_meubles,meubles/duree_meubles,0)+IF(24&lt;=duree_travaux_amort,travaux/duree_travaux_amort,0)</f>
        <v/>
      </c>
      <c r="Q27" s="39">
        <f>R26</f>
        <v/>
      </c>
      <c r="R27" s="39">
        <f>Q27+P27-J27</f>
        <v/>
      </c>
      <c r="S27" s="39">
        <f>C27-D27-E27</f>
        <v/>
      </c>
      <c r="T27" s="39">
        <f>IF(24&gt;horizon,0,M27+IF(24=horizon,produit_net_revente,0))</f>
        <v/>
      </c>
    </row>
    <row r="28">
      <c r="A28" s="37" t="n">
        <v>25</v>
      </c>
      <c r="B28" s="38">
        <f>loyer_hc*12*(1+reval_loyer)^(25-1)</f>
        <v/>
      </c>
      <c r="C28" s="38">
        <f>B28*(1-vacance_pct-impayes_pct)</f>
        <v/>
      </c>
      <c r="D28" s="38">
        <f>(taxe_fonciere+assurance_pno+charges_copro+comptabilite+cfe)*(1+reval_charges)^(25-1)+gli_pct*C28+gestion_pct*B28+entretien_pct*C28</f>
        <v/>
      </c>
      <c r="E28" s="38">
        <f>SUMIFS(Amortissement!$D$4:$D$363,Amortissement!$B$4:$B$363,A28)</f>
        <v/>
      </c>
      <c r="F28" s="38">
        <f>SUMIFS(Amortissement!$E$4:$E$363,Amortissement!$B$4:$B$363,A28)</f>
        <v/>
      </c>
      <c r="G28" s="38">
        <f>SUMIFS(Amortissement!$F$4:$F$363,Amortissement!$B$4:$B$363,A28)</f>
        <v/>
      </c>
      <c r="H28" s="38">
        <f>E28+F28+G28</f>
        <v/>
      </c>
      <c r="I28" s="38">
        <f>C28-D28-H28</f>
        <v/>
      </c>
      <c r="J28" s="38">
        <f>MAX(0,MIN(P28+Q28,MAX(0,S28)))</f>
        <v/>
      </c>
      <c r="K28" s="38">
        <f>IF(regime_proj="Micro-foncier (nu)",C28*0.7,IF(regime_proj="Réel foncier (nu)",S28,IF(regime_proj="Micro-BIC (meublé)",C28*0.5,MAX(0,S28-J28))))</f>
        <v/>
      </c>
      <c r="L28" s="38">
        <f>IF(K28&gt;=0,K28*(tmi+ps_pct),MAX(K28,-10700)*tmi)</f>
        <v/>
      </c>
      <c r="M28" s="38">
        <f>I28-L28</f>
        <v/>
      </c>
      <c r="N28" s="38">
        <f>N27+M28</f>
        <v/>
      </c>
      <c r="P28" s="39">
        <f>IF(25&lt;=duree_bati,prix_bien*(1-terrain_pct)/duree_bati,0)+IF(25&lt;=duree_meubles,meubles/duree_meubles,0)+IF(25&lt;=duree_travaux_amort,travaux/duree_travaux_amort,0)</f>
        <v/>
      </c>
      <c r="Q28" s="39">
        <f>R27</f>
        <v/>
      </c>
      <c r="R28" s="39">
        <f>Q28+P28-J28</f>
        <v/>
      </c>
      <c r="S28" s="39">
        <f>C28-D28-E28</f>
        <v/>
      </c>
      <c r="T28" s="39">
        <f>IF(25&gt;horizon,0,M28+IF(25=horizon,produit_net_revente,0))</f>
        <v/>
      </c>
    </row>
    <row r="29">
      <c r="A29" s="40" t="n">
        <v>26</v>
      </c>
      <c r="B29" s="41">
        <f>loyer_hc*12*(1+reval_loyer)^(26-1)</f>
        <v/>
      </c>
      <c r="C29" s="41">
        <f>B29*(1-vacance_pct-impayes_pct)</f>
        <v/>
      </c>
      <c r="D29" s="41">
        <f>(taxe_fonciere+assurance_pno+charges_copro+comptabilite+cfe)*(1+reval_charges)^(26-1)+gli_pct*C29+gestion_pct*B29+entretien_pct*C29</f>
        <v/>
      </c>
      <c r="E29" s="41">
        <f>SUMIFS(Amortissement!$D$4:$D$363,Amortissement!$B$4:$B$363,A29)</f>
        <v/>
      </c>
      <c r="F29" s="41">
        <f>SUMIFS(Amortissement!$E$4:$E$363,Amortissement!$B$4:$B$363,A29)</f>
        <v/>
      </c>
      <c r="G29" s="41">
        <f>SUMIFS(Amortissement!$F$4:$F$363,Amortissement!$B$4:$B$363,A29)</f>
        <v/>
      </c>
      <c r="H29" s="41">
        <f>E29+F29+G29</f>
        <v/>
      </c>
      <c r="I29" s="41">
        <f>C29-D29-H29</f>
        <v/>
      </c>
      <c r="J29" s="41">
        <f>MAX(0,MIN(P29+Q29,MAX(0,S29)))</f>
        <v/>
      </c>
      <c r="K29" s="41">
        <f>IF(regime_proj="Micro-foncier (nu)",C29*0.7,IF(regime_proj="Réel foncier (nu)",S29,IF(regime_proj="Micro-BIC (meublé)",C29*0.5,MAX(0,S29-J29))))</f>
        <v/>
      </c>
      <c r="L29" s="41">
        <f>IF(K29&gt;=0,K29*(tmi+ps_pct),MAX(K29,-10700)*tmi)</f>
        <v/>
      </c>
      <c r="M29" s="41">
        <f>I29-L29</f>
        <v/>
      </c>
      <c r="N29" s="41">
        <f>N28+M29</f>
        <v/>
      </c>
      <c r="P29" s="39">
        <f>IF(26&lt;=duree_bati,prix_bien*(1-terrain_pct)/duree_bati,0)+IF(26&lt;=duree_meubles,meubles/duree_meubles,0)+IF(26&lt;=duree_travaux_amort,travaux/duree_travaux_amort,0)</f>
        <v/>
      </c>
      <c r="Q29" s="39">
        <f>R28</f>
        <v/>
      </c>
      <c r="R29" s="39">
        <f>Q29+P29-J29</f>
        <v/>
      </c>
      <c r="S29" s="39">
        <f>C29-D29-E29</f>
        <v/>
      </c>
      <c r="T29" s="39">
        <f>IF(26&gt;horizon,0,M29+IF(26=horizon,produit_net_revente,0))</f>
        <v/>
      </c>
    </row>
    <row r="30">
      <c r="A30" s="37" t="n">
        <v>27</v>
      </c>
      <c r="B30" s="38">
        <f>loyer_hc*12*(1+reval_loyer)^(27-1)</f>
        <v/>
      </c>
      <c r="C30" s="38">
        <f>B30*(1-vacance_pct-impayes_pct)</f>
        <v/>
      </c>
      <c r="D30" s="38">
        <f>(taxe_fonciere+assurance_pno+charges_copro+comptabilite+cfe)*(1+reval_charges)^(27-1)+gli_pct*C30+gestion_pct*B30+entretien_pct*C30</f>
        <v/>
      </c>
      <c r="E30" s="38">
        <f>SUMIFS(Amortissement!$D$4:$D$363,Amortissement!$B$4:$B$363,A30)</f>
        <v/>
      </c>
      <c r="F30" s="38">
        <f>SUMIFS(Amortissement!$E$4:$E$363,Amortissement!$B$4:$B$363,A30)</f>
        <v/>
      </c>
      <c r="G30" s="38">
        <f>SUMIFS(Amortissement!$F$4:$F$363,Amortissement!$B$4:$B$363,A30)</f>
        <v/>
      </c>
      <c r="H30" s="38">
        <f>E30+F30+G30</f>
        <v/>
      </c>
      <c r="I30" s="38">
        <f>C30-D30-H30</f>
        <v/>
      </c>
      <c r="J30" s="38">
        <f>MAX(0,MIN(P30+Q30,MAX(0,S30)))</f>
        <v/>
      </c>
      <c r="K30" s="38">
        <f>IF(regime_proj="Micro-foncier (nu)",C30*0.7,IF(regime_proj="Réel foncier (nu)",S30,IF(regime_proj="Micro-BIC (meublé)",C30*0.5,MAX(0,S30-J30))))</f>
        <v/>
      </c>
      <c r="L30" s="38">
        <f>IF(K30&gt;=0,K30*(tmi+ps_pct),MAX(K30,-10700)*tmi)</f>
        <v/>
      </c>
      <c r="M30" s="38">
        <f>I30-L30</f>
        <v/>
      </c>
      <c r="N30" s="38">
        <f>N29+M30</f>
        <v/>
      </c>
      <c r="P30" s="39">
        <f>IF(27&lt;=duree_bati,prix_bien*(1-terrain_pct)/duree_bati,0)+IF(27&lt;=duree_meubles,meubles/duree_meubles,0)+IF(27&lt;=duree_travaux_amort,travaux/duree_travaux_amort,0)</f>
        <v/>
      </c>
      <c r="Q30" s="39">
        <f>R29</f>
        <v/>
      </c>
      <c r="R30" s="39">
        <f>Q30+P30-J30</f>
        <v/>
      </c>
      <c r="S30" s="39">
        <f>C30-D30-E30</f>
        <v/>
      </c>
      <c r="T30" s="39">
        <f>IF(27&gt;horizon,0,M30+IF(27=horizon,produit_net_revente,0))</f>
        <v/>
      </c>
    </row>
    <row r="31">
      <c r="A31" s="40" t="n">
        <v>28</v>
      </c>
      <c r="B31" s="41">
        <f>loyer_hc*12*(1+reval_loyer)^(28-1)</f>
        <v/>
      </c>
      <c r="C31" s="41">
        <f>B31*(1-vacance_pct-impayes_pct)</f>
        <v/>
      </c>
      <c r="D31" s="41">
        <f>(taxe_fonciere+assurance_pno+charges_copro+comptabilite+cfe)*(1+reval_charges)^(28-1)+gli_pct*C31+gestion_pct*B31+entretien_pct*C31</f>
        <v/>
      </c>
      <c r="E31" s="41">
        <f>SUMIFS(Amortissement!$D$4:$D$363,Amortissement!$B$4:$B$363,A31)</f>
        <v/>
      </c>
      <c r="F31" s="41">
        <f>SUMIFS(Amortissement!$E$4:$E$363,Amortissement!$B$4:$B$363,A31)</f>
        <v/>
      </c>
      <c r="G31" s="41">
        <f>SUMIFS(Amortissement!$F$4:$F$363,Amortissement!$B$4:$B$363,A31)</f>
        <v/>
      </c>
      <c r="H31" s="41">
        <f>E31+F31+G31</f>
        <v/>
      </c>
      <c r="I31" s="41">
        <f>C31-D31-H31</f>
        <v/>
      </c>
      <c r="J31" s="41">
        <f>MAX(0,MIN(P31+Q31,MAX(0,S31)))</f>
        <v/>
      </c>
      <c r="K31" s="41">
        <f>IF(regime_proj="Micro-foncier (nu)",C31*0.7,IF(regime_proj="Réel foncier (nu)",S31,IF(regime_proj="Micro-BIC (meublé)",C31*0.5,MAX(0,S31-J31))))</f>
        <v/>
      </c>
      <c r="L31" s="41">
        <f>IF(K31&gt;=0,K31*(tmi+ps_pct),MAX(K31,-10700)*tmi)</f>
        <v/>
      </c>
      <c r="M31" s="41">
        <f>I31-L31</f>
        <v/>
      </c>
      <c r="N31" s="41">
        <f>N30+M31</f>
        <v/>
      </c>
      <c r="P31" s="39">
        <f>IF(28&lt;=duree_bati,prix_bien*(1-terrain_pct)/duree_bati,0)+IF(28&lt;=duree_meubles,meubles/duree_meubles,0)+IF(28&lt;=duree_travaux_amort,travaux/duree_travaux_amort,0)</f>
        <v/>
      </c>
      <c r="Q31" s="39">
        <f>R30</f>
        <v/>
      </c>
      <c r="R31" s="39">
        <f>Q31+P31-J31</f>
        <v/>
      </c>
      <c r="S31" s="39">
        <f>C31-D31-E31</f>
        <v/>
      </c>
      <c r="T31" s="39">
        <f>IF(28&gt;horizon,0,M31+IF(28=horizon,produit_net_revente,0))</f>
        <v/>
      </c>
    </row>
    <row r="32">
      <c r="A32" s="37" t="n">
        <v>29</v>
      </c>
      <c r="B32" s="38">
        <f>loyer_hc*12*(1+reval_loyer)^(29-1)</f>
        <v/>
      </c>
      <c r="C32" s="38">
        <f>B32*(1-vacance_pct-impayes_pct)</f>
        <v/>
      </c>
      <c r="D32" s="38">
        <f>(taxe_fonciere+assurance_pno+charges_copro+comptabilite+cfe)*(1+reval_charges)^(29-1)+gli_pct*C32+gestion_pct*B32+entretien_pct*C32</f>
        <v/>
      </c>
      <c r="E32" s="38">
        <f>SUMIFS(Amortissement!$D$4:$D$363,Amortissement!$B$4:$B$363,A32)</f>
        <v/>
      </c>
      <c r="F32" s="38">
        <f>SUMIFS(Amortissement!$E$4:$E$363,Amortissement!$B$4:$B$363,A32)</f>
        <v/>
      </c>
      <c r="G32" s="38">
        <f>SUMIFS(Amortissement!$F$4:$F$363,Amortissement!$B$4:$B$363,A32)</f>
        <v/>
      </c>
      <c r="H32" s="38">
        <f>E32+F32+G32</f>
        <v/>
      </c>
      <c r="I32" s="38">
        <f>C32-D32-H32</f>
        <v/>
      </c>
      <c r="J32" s="38">
        <f>MAX(0,MIN(P32+Q32,MAX(0,S32)))</f>
        <v/>
      </c>
      <c r="K32" s="38">
        <f>IF(regime_proj="Micro-foncier (nu)",C32*0.7,IF(regime_proj="Réel foncier (nu)",S32,IF(regime_proj="Micro-BIC (meublé)",C32*0.5,MAX(0,S32-J32))))</f>
        <v/>
      </c>
      <c r="L32" s="38">
        <f>IF(K32&gt;=0,K32*(tmi+ps_pct),MAX(K32,-10700)*tmi)</f>
        <v/>
      </c>
      <c r="M32" s="38">
        <f>I32-L32</f>
        <v/>
      </c>
      <c r="N32" s="38">
        <f>N31+M32</f>
        <v/>
      </c>
      <c r="P32" s="39">
        <f>IF(29&lt;=duree_bati,prix_bien*(1-terrain_pct)/duree_bati,0)+IF(29&lt;=duree_meubles,meubles/duree_meubles,0)+IF(29&lt;=duree_travaux_amort,travaux/duree_travaux_amort,0)</f>
        <v/>
      </c>
      <c r="Q32" s="39">
        <f>R31</f>
        <v/>
      </c>
      <c r="R32" s="39">
        <f>Q32+P32-J32</f>
        <v/>
      </c>
      <c r="S32" s="39">
        <f>C32-D32-E32</f>
        <v/>
      </c>
      <c r="T32" s="39">
        <f>IF(29&gt;horizon,0,M32+IF(29=horizon,produit_net_revente,0))</f>
        <v/>
      </c>
    </row>
    <row r="33">
      <c r="A33" s="40" t="n">
        <v>30</v>
      </c>
      <c r="B33" s="41">
        <f>loyer_hc*12*(1+reval_loyer)^(30-1)</f>
        <v/>
      </c>
      <c r="C33" s="41">
        <f>B33*(1-vacance_pct-impayes_pct)</f>
        <v/>
      </c>
      <c r="D33" s="41">
        <f>(taxe_fonciere+assurance_pno+charges_copro+comptabilite+cfe)*(1+reval_charges)^(30-1)+gli_pct*C33+gestion_pct*B33+entretien_pct*C33</f>
        <v/>
      </c>
      <c r="E33" s="41">
        <f>SUMIFS(Amortissement!$D$4:$D$363,Amortissement!$B$4:$B$363,A33)</f>
        <v/>
      </c>
      <c r="F33" s="41">
        <f>SUMIFS(Amortissement!$E$4:$E$363,Amortissement!$B$4:$B$363,A33)</f>
        <v/>
      </c>
      <c r="G33" s="41">
        <f>SUMIFS(Amortissement!$F$4:$F$363,Amortissement!$B$4:$B$363,A33)</f>
        <v/>
      </c>
      <c r="H33" s="41">
        <f>E33+F33+G33</f>
        <v/>
      </c>
      <c r="I33" s="41">
        <f>C33-D33-H33</f>
        <v/>
      </c>
      <c r="J33" s="41">
        <f>MAX(0,MIN(P33+Q33,MAX(0,S33)))</f>
        <v/>
      </c>
      <c r="K33" s="41">
        <f>IF(regime_proj="Micro-foncier (nu)",C33*0.7,IF(regime_proj="Réel foncier (nu)",S33,IF(regime_proj="Micro-BIC (meublé)",C33*0.5,MAX(0,S33-J33))))</f>
        <v/>
      </c>
      <c r="L33" s="41">
        <f>IF(K33&gt;=0,K33*(tmi+ps_pct),MAX(K33,-10700)*tmi)</f>
        <v/>
      </c>
      <c r="M33" s="41">
        <f>I33-L33</f>
        <v/>
      </c>
      <c r="N33" s="41">
        <f>N32+M33</f>
        <v/>
      </c>
      <c r="P33" s="39">
        <f>IF(30&lt;=duree_bati,prix_bien*(1-terrain_pct)/duree_bati,0)+IF(30&lt;=duree_meubles,meubles/duree_meubles,0)+IF(30&lt;=duree_travaux_amort,travaux/duree_travaux_amort,0)</f>
        <v/>
      </c>
      <c r="Q33" s="39">
        <f>R32</f>
        <v/>
      </c>
      <c r="R33" s="39">
        <f>Q33+P33-J33</f>
        <v/>
      </c>
      <c r="S33" s="39">
        <f>C33-D33-E33</f>
        <v/>
      </c>
      <c r="T33" s="39">
        <f>IF(30&gt;horizon,0,M33+IF(30=horizon,produit_net_revente,0))</f>
        <v/>
      </c>
    </row>
  </sheetData>
  <mergeCells count="2">
    <mergeCell ref="A2:N2"/>
    <mergeCell ref="A1:N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36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7" customWidth="1" min="1" max="1"/>
    <col width="7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30" customHeight="1">
      <c r="A1" s="1" t="inlineStr">
        <is>
          <t xml:space="preserve">  Tableau d'amortissement du prêt (mensuel)</t>
        </is>
      </c>
    </row>
    <row r="2" ht="18" customHeight="1">
      <c r="A2" s="2" t="inlineStr">
        <is>
          <t>Recalculé automatiquement — 360 mois maximum</t>
        </is>
      </c>
    </row>
    <row r="3">
      <c r="A3" s="42" t="inlineStr">
        <is>
          <t>Mois</t>
        </is>
      </c>
      <c r="B3" s="42" t="inlineStr">
        <is>
          <t>Année</t>
        </is>
      </c>
      <c r="C3" s="42" t="inlineStr">
        <is>
          <t>Capital début</t>
        </is>
      </c>
      <c r="D3" s="42" t="inlineStr">
        <is>
          <t>Intérêts</t>
        </is>
      </c>
      <c r="E3" s="42" t="inlineStr">
        <is>
          <t>Assurance</t>
        </is>
      </c>
      <c r="F3" s="42" t="inlineStr">
        <is>
          <t>Capital remboursé</t>
        </is>
      </c>
      <c r="G3" s="42" t="inlineStr">
        <is>
          <t>Mensualité totale</t>
        </is>
      </c>
      <c r="H3" s="42" t="inlineStr">
        <is>
          <t>Capital restant dû</t>
        </is>
      </c>
    </row>
    <row r="4">
      <c r="A4" s="37" t="n">
        <v>1</v>
      </c>
      <c r="B4" s="37">
        <f>ROUNDUP(A4/12,0)</f>
        <v/>
      </c>
      <c r="C4" s="38">
        <f>IF(1&lt;=duree_credit*12,montant_emprunte,0)</f>
        <v/>
      </c>
      <c r="D4" s="38">
        <f>IF(A4&lt;=duree_credit*12,C4*taux_credit/12,0)</f>
        <v/>
      </c>
      <c r="E4" s="38">
        <f>IF(A4&lt;=duree_credit*12,assurance_mens,0)</f>
        <v/>
      </c>
      <c r="F4" s="38">
        <f>IF(A4&lt;=duree_credit*12,mensualite_ha-D4,0)</f>
        <v/>
      </c>
      <c r="G4" s="38">
        <f>IF(A4&lt;=duree_credit*12,mensualite_ha+E4,0)</f>
        <v/>
      </c>
      <c r="H4" s="38">
        <f>C4-F4</f>
        <v/>
      </c>
    </row>
    <row r="5">
      <c r="A5" s="40" t="n">
        <v>2</v>
      </c>
      <c r="B5" s="40">
        <f>ROUNDUP(A5/12,0)</f>
        <v/>
      </c>
      <c r="C5" s="41">
        <f>IF(A5&lt;=duree_credit*12,H4,0)</f>
        <v/>
      </c>
      <c r="D5" s="41">
        <f>IF(A5&lt;=duree_credit*12,C5*taux_credit/12,0)</f>
        <v/>
      </c>
      <c r="E5" s="41">
        <f>IF(A5&lt;=duree_credit*12,assurance_mens,0)</f>
        <v/>
      </c>
      <c r="F5" s="41">
        <f>IF(A5&lt;=duree_credit*12,mensualite_ha-D5,0)</f>
        <v/>
      </c>
      <c r="G5" s="41">
        <f>IF(A5&lt;=duree_credit*12,mensualite_ha+E5,0)</f>
        <v/>
      </c>
      <c r="H5" s="41">
        <f>C5-F5</f>
        <v/>
      </c>
    </row>
    <row r="6">
      <c r="A6" s="37" t="n">
        <v>3</v>
      </c>
      <c r="B6" s="37">
        <f>ROUNDUP(A6/12,0)</f>
        <v/>
      </c>
      <c r="C6" s="38">
        <f>IF(A6&lt;=duree_credit*12,H5,0)</f>
        <v/>
      </c>
      <c r="D6" s="38">
        <f>IF(A6&lt;=duree_credit*12,C6*taux_credit/12,0)</f>
        <v/>
      </c>
      <c r="E6" s="38">
        <f>IF(A6&lt;=duree_credit*12,assurance_mens,0)</f>
        <v/>
      </c>
      <c r="F6" s="38">
        <f>IF(A6&lt;=duree_credit*12,mensualite_ha-D6,0)</f>
        <v/>
      </c>
      <c r="G6" s="38">
        <f>IF(A6&lt;=duree_credit*12,mensualite_ha+E6,0)</f>
        <v/>
      </c>
      <c r="H6" s="38">
        <f>C6-F6</f>
        <v/>
      </c>
    </row>
    <row r="7">
      <c r="A7" s="40" t="n">
        <v>4</v>
      </c>
      <c r="B7" s="40">
        <f>ROUNDUP(A7/12,0)</f>
        <v/>
      </c>
      <c r="C7" s="41">
        <f>IF(A7&lt;=duree_credit*12,H6,0)</f>
        <v/>
      </c>
      <c r="D7" s="41">
        <f>IF(A7&lt;=duree_credit*12,C7*taux_credit/12,0)</f>
        <v/>
      </c>
      <c r="E7" s="41">
        <f>IF(A7&lt;=duree_credit*12,assurance_mens,0)</f>
        <v/>
      </c>
      <c r="F7" s="41">
        <f>IF(A7&lt;=duree_credit*12,mensualite_ha-D7,0)</f>
        <v/>
      </c>
      <c r="G7" s="41">
        <f>IF(A7&lt;=duree_credit*12,mensualite_ha+E7,0)</f>
        <v/>
      </c>
      <c r="H7" s="41">
        <f>C7-F7</f>
        <v/>
      </c>
    </row>
    <row r="8">
      <c r="A8" s="37" t="n">
        <v>5</v>
      </c>
      <c r="B8" s="37">
        <f>ROUNDUP(A8/12,0)</f>
        <v/>
      </c>
      <c r="C8" s="38">
        <f>IF(A8&lt;=duree_credit*12,H7,0)</f>
        <v/>
      </c>
      <c r="D8" s="38">
        <f>IF(A8&lt;=duree_credit*12,C8*taux_credit/12,0)</f>
        <v/>
      </c>
      <c r="E8" s="38">
        <f>IF(A8&lt;=duree_credit*12,assurance_mens,0)</f>
        <v/>
      </c>
      <c r="F8" s="38">
        <f>IF(A8&lt;=duree_credit*12,mensualite_ha-D8,0)</f>
        <v/>
      </c>
      <c r="G8" s="38">
        <f>IF(A8&lt;=duree_credit*12,mensualite_ha+E8,0)</f>
        <v/>
      </c>
      <c r="H8" s="38">
        <f>C8-F8</f>
        <v/>
      </c>
    </row>
    <row r="9">
      <c r="A9" s="40" t="n">
        <v>6</v>
      </c>
      <c r="B9" s="40">
        <f>ROUNDUP(A9/12,0)</f>
        <v/>
      </c>
      <c r="C9" s="41">
        <f>IF(A9&lt;=duree_credit*12,H8,0)</f>
        <v/>
      </c>
      <c r="D9" s="41">
        <f>IF(A9&lt;=duree_credit*12,C9*taux_credit/12,0)</f>
        <v/>
      </c>
      <c r="E9" s="41">
        <f>IF(A9&lt;=duree_credit*12,assurance_mens,0)</f>
        <v/>
      </c>
      <c r="F9" s="41">
        <f>IF(A9&lt;=duree_credit*12,mensualite_ha-D9,0)</f>
        <v/>
      </c>
      <c r="G9" s="41">
        <f>IF(A9&lt;=duree_credit*12,mensualite_ha+E9,0)</f>
        <v/>
      </c>
      <c r="H9" s="41">
        <f>C9-F9</f>
        <v/>
      </c>
    </row>
    <row r="10">
      <c r="A10" s="37" t="n">
        <v>7</v>
      </c>
      <c r="B10" s="37">
        <f>ROUNDUP(A10/12,0)</f>
        <v/>
      </c>
      <c r="C10" s="38">
        <f>IF(A10&lt;=duree_credit*12,H9,0)</f>
        <v/>
      </c>
      <c r="D10" s="38">
        <f>IF(A10&lt;=duree_credit*12,C10*taux_credit/12,0)</f>
        <v/>
      </c>
      <c r="E10" s="38">
        <f>IF(A10&lt;=duree_credit*12,assurance_mens,0)</f>
        <v/>
      </c>
      <c r="F10" s="38">
        <f>IF(A10&lt;=duree_credit*12,mensualite_ha-D10,0)</f>
        <v/>
      </c>
      <c r="G10" s="38">
        <f>IF(A10&lt;=duree_credit*12,mensualite_ha+E10,0)</f>
        <v/>
      </c>
      <c r="H10" s="38">
        <f>C10-F10</f>
        <v/>
      </c>
    </row>
    <row r="11">
      <c r="A11" s="40" t="n">
        <v>8</v>
      </c>
      <c r="B11" s="40">
        <f>ROUNDUP(A11/12,0)</f>
        <v/>
      </c>
      <c r="C11" s="41">
        <f>IF(A11&lt;=duree_credit*12,H10,0)</f>
        <v/>
      </c>
      <c r="D11" s="41">
        <f>IF(A11&lt;=duree_credit*12,C11*taux_credit/12,0)</f>
        <v/>
      </c>
      <c r="E11" s="41">
        <f>IF(A11&lt;=duree_credit*12,assurance_mens,0)</f>
        <v/>
      </c>
      <c r="F11" s="41">
        <f>IF(A11&lt;=duree_credit*12,mensualite_ha-D11,0)</f>
        <v/>
      </c>
      <c r="G11" s="41">
        <f>IF(A11&lt;=duree_credit*12,mensualite_ha+E11,0)</f>
        <v/>
      </c>
      <c r="H11" s="41">
        <f>C11-F11</f>
        <v/>
      </c>
    </row>
    <row r="12">
      <c r="A12" s="37" t="n">
        <v>9</v>
      </c>
      <c r="B12" s="37">
        <f>ROUNDUP(A12/12,0)</f>
        <v/>
      </c>
      <c r="C12" s="38">
        <f>IF(A12&lt;=duree_credit*12,H11,0)</f>
        <v/>
      </c>
      <c r="D12" s="38">
        <f>IF(A12&lt;=duree_credit*12,C12*taux_credit/12,0)</f>
        <v/>
      </c>
      <c r="E12" s="38">
        <f>IF(A12&lt;=duree_credit*12,assurance_mens,0)</f>
        <v/>
      </c>
      <c r="F12" s="38">
        <f>IF(A12&lt;=duree_credit*12,mensualite_ha-D12,0)</f>
        <v/>
      </c>
      <c r="G12" s="38">
        <f>IF(A12&lt;=duree_credit*12,mensualite_ha+E12,0)</f>
        <v/>
      </c>
      <c r="H12" s="38">
        <f>C12-F12</f>
        <v/>
      </c>
    </row>
    <row r="13">
      <c r="A13" s="40" t="n">
        <v>10</v>
      </c>
      <c r="B13" s="40">
        <f>ROUNDUP(A13/12,0)</f>
        <v/>
      </c>
      <c r="C13" s="41">
        <f>IF(A13&lt;=duree_credit*12,H12,0)</f>
        <v/>
      </c>
      <c r="D13" s="41">
        <f>IF(A13&lt;=duree_credit*12,C13*taux_credit/12,0)</f>
        <v/>
      </c>
      <c r="E13" s="41">
        <f>IF(A13&lt;=duree_credit*12,assurance_mens,0)</f>
        <v/>
      </c>
      <c r="F13" s="41">
        <f>IF(A13&lt;=duree_credit*12,mensualite_ha-D13,0)</f>
        <v/>
      </c>
      <c r="G13" s="41">
        <f>IF(A13&lt;=duree_credit*12,mensualite_ha+E13,0)</f>
        <v/>
      </c>
      <c r="H13" s="41">
        <f>C13-F13</f>
        <v/>
      </c>
    </row>
    <row r="14">
      <c r="A14" s="37" t="n">
        <v>11</v>
      </c>
      <c r="B14" s="37">
        <f>ROUNDUP(A14/12,0)</f>
        <v/>
      </c>
      <c r="C14" s="38">
        <f>IF(A14&lt;=duree_credit*12,H13,0)</f>
        <v/>
      </c>
      <c r="D14" s="38">
        <f>IF(A14&lt;=duree_credit*12,C14*taux_credit/12,0)</f>
        <v/>
      </c>
      <c r="E14" s="38">
        <f>IF(A14&lt;=duree_credit*12,assurance_mens,0)</f>
        <v/>
      </c>
      <c r="F14" s="38">
        <f>IF(A14&lt;=duree_credit*12,mensualite_ha-D14,0)</f>
        <v/>
      </c>
      <c r="G14" s="38">
        <f>IF(A14&lt;=duree_credit*12,mensualite_ha+E14,0)</f>
        <v/>
      </c>
      <c r="H14" s="38">
        <f>C14-F14</f>
        <v/>
      </c>
    </row>
    <row r="15">
      <c r="A15" s="40" t="n">
        <v>12</v>
      </c>
      <c r="B15" s="40">
        <f>ROUNDUP(A15/12,0)</f>
        <v/>
      </c>
      <c r="C15" s="41">
        <f>IF(A15&lt;=duree_credit*12,H14,0)</f>
        <v/>
      </c>
      <c r="D15" s="41">
        <f>IF(A15&lt;=duree_credit*12,C15*taux_credit/12,0)</f>
        <v/>
      </c>
      <c r="E15" s="41">
        <f>IF(A15&lt;=duree_credit*12,assurance_mens,0)</f>
        <v/>
      </c>
      <c r="F15" s="41">
        <f>IF(A15&lt;=duree_credit*12,mensualite_ha-D15,0)</f>
        <v/>
      </c>
      <c r="G15" s="41">
        <f>IF(A15&lt;=duree_credit*12,mensualite_ha+E15,0)</f>
        <v/>
      </c>
      <c r="H15" s="41">
        <f>C15-F15</f>
        <v/>
      </c>
    </row>
    <row r="16">
      <c r="A16" s="37" t="n">
        <v>13</v>
      </c>
      <c r="B16" s="37">
        <f>ROUNDUP(A16/12,0)</f>
        <v/>
      </c>
      <c r="C16" s="38">
        <f>IF(A16&lt;=duree_credit*12,H15,0)</f>
        <v/>
      </c>
      <c r="D16" s="38">
        <f>IF(A16&lt;=duree_credit*12,C16*taux_credit/12,0)</f>
        <v/>
      </c>
      <c r="E16" s="38">
        <f>IF(A16&lt;=duree_credit*12,assurance_mens,0)</f>
        <v/>
      </c>
      <c r="F16" s="38">
        <f>IF(A16&lt;=duree_credit*12,mensualite_ha-D16,0)</f>
        <v/>
      </c>
      <c r="G16" s="38">
        <f>IF(A16&lt;=duree_credit*12,mensualite_ha+E16,0)</f>
        <v/>
      </c>
      <c r="H16" s="38">
        <f>C16-F16</f>
        <v/>
      </c>
    </row>
    <row r="17">
      <c r="A17" s="40" t="n">
        <v>14</v>
      </c>
      <c r="B17" s="40">
        <f>ROUNDUP(A17/12,0)</f>
        <v/>
      </c>
      <c r="C17" s="41">
        <f>IF(A17&lt;=duree_credit*12,H16,0)</f>
        <v/>
      </c>
      <c r="D17" s="41">
        <f>IF(A17&lt;=duree_credit*12,C17*taux_credit/12,0)</f>
        <v/>
      </c>
      <c r="E17" s="41">
        <f>IF(A17&lt;=duree_credit*12,assurance_mens,0)</f>
        <v/>
      </c>
      <c r="F17" s="41">
        <f>IF(A17&lt;=duree_credit*12,mensualite_ha-D17,0)</f>
        <v/>
      </c>
      <c r="G17" s="41">
        <f>IF(A17&lt;=duree_credit*12,mensualite_ha+E17,0)</f>
        <v/>
      </c>
      <c r="H17" s="41">
        <f>C17-F17</f>
        <v/>
      </c>
    </row>
    <row r="18">
      <c r="A18" s="37" t="n">
        <v>15</v>
      </c>
      <c r="B18" s="37">
        <f>ROUNDUP(A18/12,0)</f>
        <v/>
      </c>
      <c r="C18" s="38">
        <f>IF(A18&lt;=duree_credit*12,H17,0)</f>
        <v/>
      </c>
      <c r="D18" s="38">
        <f>IF(A18&lt;=duree_credit*12,C18*taux_credit/12,0)</f>
        <v/>
      </c>
      <c r="E18" s="38">
        <f>IF(A18&lt;=duree_credit*12,assurance_mens,0)</f>
        <v/>
      </c>
      <c r="F18" s="38">
        <f>IF(A18&lt;=duree_credit*12,mensualite_ha-D18,0)</f>
        <v/>
      </c>
      <c r="G18" s="38">
        <f>IF(A18&lt;=duree_credit*12,mensualite_ha+E18,0)</f>
        <v/>
      </c>
      <c r="H18" s="38">
        <f>C18-F18</f>
        <v/>
      </c>
    </row>
    <row r="19">
      <c r="A19" s="40" t="n">
        <v>16</v>
      </c>
      <c r="B19" s="40">
        <f>ROUNDUP(A19/12,0)</f>
        <v/>
      </c>
      <c r="C19" s="41">
        <f>IF(A19&lt;=duree_credit*12,H18,0)</f>
        <v/>
      </c>
      <c r="D19" s="41">
        <f>IF(A19&lt;=duree_credit*12,C19*taux_credit/12,0)</f>
        <v/>
      </c>
      <c r="E19" s="41">
        <f>IF(A19&lt;=duree_credit*12,assurance_mens,0)</f>
        <v/>
      </c>
      <c r="F19" s="41">
        <f>IF(A19&lt;=duree_credit*12,mensualite_ha-D19,0)</f>
        <v/>
      </c>
      <c r="G19" s="41">
        <f>IF(A19&lt;=duree_credit*12,mensualite_ha+E19,0)</f>
        <v/>
      </c>
      <c r="H19" s="41">
        <f>C19-F19</f>
        <v/>
      </c>
    </row>
    <row r="20">
      <c r="A20" s="37" t="n">
        <v>17</v>
      </c>
      <c r="B20" s="37">
        <f>ROUNDUP(A20/12,0)</f>
        <v/>
      </c>
      <c r="C20" s="38">
        <f>IF(A20&lt;=duree_credit*12,H19,0)</f>
        <v/>
      </c>
      <c r="D20" s="38">
        <f>IF(A20&lt;=duree_credit*12,C20*taux_credit/12,0)</f>
        <v/>
      </c>
      <c r="E20" s="38">
        <f>IF(A20&lt;=duree_credit*12,assurance_mens,0)</f>
        <v/>
      </c>
      <c r="F20" s="38">
        <f>IF(A20&lt;=duree_credit*12,mensualite_ha-D20,0)</f>
        <v/>
      </c>
      <c r="G20" s="38">
        <f>IF(A20&lt;=duree_credit*12,mensualite_ha+E20,0)</f>
        <v/>
      </c>
      <c r="H20" s="38">
        <f>C20-F20</f>
        <v/>
      </c>
    </row>
    <row r="21">
      <c r="A21" s="40" t="n">
        <v>18</v>
      </c>
      <c r="B21" s="40">
        <f>ROUNDUP(A21/12,0)</f>
        <v/>
      </c>
      <c r="C21" s="41">
        <f>IF(A21&lt;=duree_credit*12,H20,0)</f>
        <v/>
      </c>
      <c r="D21" s="41">
        <f>IF(A21&lt;=duree_credit*12,C21*taux_credit/12,0)</f>
        <v/>
      </c>
      <c r="E21" s="41">
        <f>IF(A21&lt;=duree_credit*12,assurance_mens,0)</f>
        <v/>
      </c>
      <c r="F21" s="41">
        <f>IF(A21&lt;=duree_credit*12,mensualite_ha-D21,0)</f>
        <v/>
      </c>
      <c r="G21" s="41">
        <f>IF(A21&lt;=duree_credit*12,mensualite_ha+E21,0)</f>
        <v/>
      </c>
      <c r="H21" s="41">
        <f>C21-F21</f>
        <v/>
      </c>
    </row>
    <row r="22">
      <c r="A22" s="37" t="n">
        <v>19</v>
      </c>
      <c r="B22" s="37">
        <f>ROUNDUP(A22/12,0)</f>
        <v/>
      </c>
      <c r="C22" s="38">
        <f>IF(A22&lt;=duree_credit*12,H21,0)</f>
        <v/>
      </c>
      <c r="D22" s="38">
        <f>IF(A22&lt;=duree_credit*12,C22*taux_credit/12,0)</f>
        <v/>
      </c>
      <c r="E22" s="38">
        <f>IF(A22&lt;=duree_credit*12,assurance_mens,0)</f>
        <v/>
      </c>
      <c r="F22" s="38">
        <f>IF(A22&lt;=duree_credit*12,mensualite_ha-D22,0)</f>
        <v/>
      </c>
      <c r="G22" s="38">
        <f>IF(A22&lt;=duree_credit*12,mensualite_ha+E22,0)</f>
        <v/>
      </c>
      <c r="H22" s="38">
        <f>C22-F22</f>
        <v/>
      </c>
    </row>
    <row r="23">
      <c r="A23" s="40" t="n">
        <v>20</v>
      </c>
      <c r="B23" s="40">
        <f>ROUNDUP(A23/12,0)</f>
        <v/>
      </c>
      <c r="C23" s="41">
        <f>IF(A23&lt;=duree_credit*12,H22,0)</f>
        <v/>
      </c>
      <c r="D23" s="41">
        <f>IF(A23&lt;=duree_credit*12,C23*taux_credit/12,0)</f>
        <v/>
      </c>
      <c r="E23" s="41">
        <f>IF(A23&lt;=duree_credit*12,assurance_mens,0)</f>
        <v/>
      </c>
      <c r="F23" s="41">
        <f>IF(A23&lt;=duree_credit*12,mensualite_ha-D23,0)</f>
        <v/>
      </c>
      <c r="G23" s="41">
        <f>IF(A23&lt;=duree_credit*12,mensualite_ha+E23,0)</f>
        <v/>
      </c>
      <c r="H23" s="41">
        <f>C23-F23</f>
        <v/>
      </c>
    </row>
    <row r="24">
      <c r="A24" s="37" t="n">
        <v>21</v>
      </c>
      <c r="B24" s="37">
        <f>ROUNDUP(A24/12,0)</f>
        <v/>
      </c>
      <c r="C24" s="38">
        <f>IF(A24&lt;=duree_credit*12,H23,0)</f>
        <v/>
      </c>
      <c r="D24" s="38">
        <f>IF(A24&lt;=duree_credit*12,C24*taux_credit/12,0)</f>
        <v/>
      </c>
      <c r="E24" s="38">
        <f>IF(A24&lt;=duree_credit*12,assurance_mens,0)</f>
        <v/>
      </c>
      <c r="F24" s="38">
        <f>IF(A24&lt;=duree_credit*12,mensualite_ha-D24,0)</f>
        <v/>
      </c>
      <c r="G24" s="38">
        <f>IF(A24&lt;=duree_credit*12,mensualite_ha+E24,0)</f>
        <v/>
      </c>
      <c r="H24" s="38">
        <f>C24-F24</f>
        <v/>
      </c>
    </row>
    <row r="25">
      <c r="A25" s="40" t="n">
        <v>22</v>
      </c>
      <c r="B25" s="40">
        <f>ROUNDUP(A25/12,0)</f>
        <v/>
      </c>
      <c r="C25" s="41">
        <f>IF(A25&lt;=duree_credit*12,H24,0)</f>
        <v/>
      </c>
      <c r="D25" s="41">
        <f>IF(A25&lt;=duree_credit*12,C25*taux_credit/12,0)</f>
        <v/>
      </c>
      <c r="E25" s="41">
        <f>IF(A25&lt;=duree_credit*12,assurance_mens,0)</f>
        <v/>
      </c>
      <c r="F25" s="41">
        <f>IF(A25&lt;=duree_credit*12,mensualite_ha-D25,0)</f>
        <v/>
      </c>
      <c r="G25" s="41">
        <f>IF(A25&lt;=duree_credit*12,mensualite_ha+E25,0)</f>
        <v/>
      </c>
      <c r="H25" s="41">
        <f>C25-F25</f>
        <v/>
      </c>
    </row>
    <row r="26">
      <c r="A26" s="37" t="n">
        <v>23</v>
      </c>
      <c r="B26" s="37">
        <f>ROUNDUP(A26/12,0)</f>
        <v/>
      </c>
      <c r="C26" s="38">
        <f>IF(A26&lt;=duree_credit*12,H25,0)</f>
        <v/>
      </c>
      <c r="D26" s="38">
        <f>IF(A26&lt;=duree_credit*12,C26*taux_credit/12,0)</f>
        <v/>
      </c>
      <c r="E26" s="38">
        <f>IF(A26&lt;=duree_credit*12,assurance_mens,0)</f>
        <v/>
      </c>
      <c r="F26" s="38">
        <f>IF(A26&lt;=duree_credit*12,mensualite_ha-D26,0)</f>
        <v/>
      </c>
      <c r="G26" s="38">
        <f>IF(A26&lt;=duree_credit*12,mensualite_ha+E26,0)</f>
        <v/>
      </c>
      <c r="H26" s="38">
        <f>C26-F26</f>
        <v/>
      </c>
    </row>
    <row r="27">
      <c r="A27" s="40" t="n">
        <v>24</v>
      </c>
      <c r="B27" s="40">
        <f>ROUNDUP(A27/12,0)</f>
        <v/>
      </c>
      <c r="C27" s="41">
        <f>IF(A27&lt;=duree_credit*12,H26,0)</f>
        <v/>
      </c>
      <c r="D27" s="41">
        <f>IF(A27&lt;=duree_credit*12,C27*taux_credit/12,0)</f>
        <v/>
      </c>
      <c r="E27" s="41">
        <f>IF(A27&lt;=duree_credit*12,assurance_mens,0)</f>
        <v/>
      </c>
      <c r="F27" s="41">
        <f>IF(A27&lt;=duree_credit*12,mensualite_ha-D27,0)</f>
        <v/>
      </c>
      <c r="G27" s="41">
        <f>IF(A27&lt;=duree_credit*12,mensualite_ha+E27,0)</f>
        <v/>
      </c>
      <c r="H27" s="41">
        <f>C27-F27</f>
        <v/>
      </c>
    </row>
    <row r="28">
      <c r="A28" s="37" t="n">
        <v>25</v>
      </c>
      <c r="B28" s="37">
        <f>ROUNDUP(A28/12,0)</f>
        <v/>
      </c>
      <c r="C28" s="38">
        <f>IF(A28&lt;=duree_credit*12,H27,0)</f>
        <v/>
      </c>
      <c r="D28" s="38">
        <f>IF(A28&lt;=duree_credit*12,C28*taux_credit/12,0)</f>
        <v/>
      </c>
      <c r="E28" s="38">
        <f>IF(A28&lt;=duree_credit*12,assurance_mens,0)</f>
        <v/>
      </c>
      <c r="F28" s="38">
        <f>IF(A28&lt;=duree_credit*12,mensualite_ha-D28,0)</f>
        <v/>
      </c>
      <c r="G28" s="38">
        <f>IF(A28&lt;=duree_credit*12,mensualite_ha+E28,0)</f>
        <v/>
      </c>
      <c r="H28" s="38">
        <f>C28-F28</f>
        <v/>
      </c>
    </row>
    <row r="29">
      <c r="A29" s="40" t="n">
        <v>26</v>
      </c>
      <c r="B29" s="40">
        <f>ROUNDUP(A29/12,0)</f>
        <v/>
      </c>
      <c r="C29" s="41">
        <f>IF(A29&lt;=duree_credit*12,H28,0)</f>
        <v/>
      </c>
      <c r="D29" s="41">
        <f>IF(A29&lt;=duree_credit*12,C29*taux_credit/12,0)</f>
        <v/>
      </c>
      <c r="E29" s="41">
        <f>IF(A29&lt;=duree_credit*12,assurance_mens,0)</f>
        <v/>
      </c>
      <c r="F29" s="41">
        <f>IF(A29&lt;=duree_credit*12,mensualite_ha-D29,0)</f>
        <v/>
      </c>
      <c r="G29" s="41">
        <f>IF(A29&lt;=duree_credit*12,mensualite_ha+E29,0)</f>
        <v/>
      </c>
      <c r="H29" s="41">
        <f>C29-F29</f>
        <v/>
      </c>
    </row>
    <row r="30">
      <c r="A30" s="37" t="n">
        <v>27</v>
      </c>
      <c r="B30" s="37">
        <f>ROUNDUP(A30/12,0)</f>
        <v/>
      </c>
      <c r="C30" s="38">
        <f>IF(A30&lt;=duree_credit*12,H29,0)</f>
        <v/>
      </c>
      <c r="D30" s="38">
        <f>IF(A30&lt;=duree_credit*12,C30*taux_credit/12,0)</f>
        <v/>
      </c>
      <c r="E30" s="38">
        <f>IF(A30&lt;=duree_credit*12,assurance_mens,0)</f>
        <v/>
      </c>
      <c r="F30" s="38">
        <f>IF(A30&lt;=duree_credit*12,mensualite_ha-D30,0)</f>
        <v/>
      </c>
      <c r="G30" s="38">
        <f>IF(A30&lt;=duree_credit*12,mensualite_ha+E30,0)</f>
        <v/>
      </c>
      <c r="H30" s="38">
        <f>C30-F30</f>
        <v/>
      </c>
    </row>
    <row r="31">
      <c r="A31" s="40" t="n">
        <v>28</v>
      </c>
      <c r="B31" s="40">
        <f>ROUNDUP(A31/12,0)</f>
        <v/>
      </c>
      <c r="C31" s="41">
        <f>IF(A31&lt;=duree_credit*12,H30,0)</f>
        <v/>
      </c>
      <c r="D31" s="41">
        <f>IF(A31&lt;=duree_credit*12,C31*taux_credit/12,0)</f>
        <v/>
      </c>
      <c r="E31" s="41">
        <f>IF(A31&lt;=duree_credit*12,assurance_mens,0)</f>
        <v/>
      </c>
      <c r="F31" s="41">
        <f>IF(A31&lt;=duree_credit*12,mensualite_ha-D31,0)</f>
        <v/>
      </c>
      <c r="G31" s="41">
        <f>IF(A31&lt;=duree_credit*12,mensualite_ha+E31,0)</f>
        <v/>
      </c>
      <c r="H31" s="41">
        <f>C31-F31</f>
        <v/>
      </c>
    </row>
    <row r="32">
      <c r="A32" s="37" t="n">
        <v>29</v>
      </c>
      <c r="B32" s="37">
        <f>ROUNDUP(A32/12,0)</f>
        <v/>
      </c>
      <c r="C32" s="38">
        <f>IF(A32&lt;=duree_credit*12,H31,0)</f>
        <v/>
      </c>
      <c r="D32" s="38">
        <f>IF(A32&lt;=duree_credit*12,C32*taux_credit/12,0)</f>
        <v/>
      </c>
      <c r="E32" s="38">
        <f>IF(A32&lt;=duree_credit*12,assurance_mens,0)</f>
        <v/>
      </c>
      <c r="F32" s="38">
        <f>IF(A32&lt;=duree_credit*12,mensualite_ha-D32,0)</f>
        <v/>
      </c>
      <c r="G32" s="38">
        <f>IF(A32&lt;=duree_credit*12,mensualite_ha+E32,0)</f>
        <v/>
      </c>
      <c r="H32" s="38">
        <f>C32-F32</f>
        <v/>
      </c>
    </row>
    <row r="33">
      <c r="A33" s="40" t="n">
        <v>30</v>
      </c>
      <c r="B33" s="40">
        <f>ROUNDUP(A33/12,0)</f>
        <v/>
      </c>
      <c r="C33" s="41">
        <f>IF(A33&lt;=duree_credit*12,H32,0)</f>
        <v/>
      </c>
      <c r="D33" s="41">
        <f>IF(A33&lt;=duree_credit*12,C33*taux_credit/12,0)</f>
        <v/>
      </c>
      <c r="E33" s="41">
        <f>IF(A33&lt;=duree_credit*12,assurance_mens,0)</f>
        <v/>
      </c>
      <c r="F33" s="41">
        <f>IF(A33&lt;=duree_credit*12,mensualite_ha-D33,0)</f>
        <v/>
      </c>
      <c r="G33" s="41">
        <f>IF(A33&lt;=duree_credit*12,mensualite_ha+E33,0)</f>
        <v/>
      </c>
      <c r="H33" s="41">
        <f>C33-F33</f>
        <v/>
      </c>
    </row>
    <row r="34">
      <c r="A34" s="37" t="n">
        <v>31</v>
      </c>
      <c r="B34" s="37">
        <f>ROUNDUP(A34/12,0)</f>
        <v/>
      </c>
      <c r="C34" s="38">
        <f>IF(A34&lt;=duree_credit*12,H33,0)</f>
        <v/>
      </c>
      <c r="D34" s="38">
        <f>IF(A34&lt;=duree_credit*12,C34*taux_credit/12,0)</f>
        <v/>
      </c>
      <c r="E34" s="38">
        <f>IF(A34&lt;=duree_credit*12,assurance_mens,0)</f>
        <v/>
      </c>
      <c r="F34" s="38">
        <f>IF(A34&lt;=duree_credit*12,mensualite_ha-D34,0)</f>
        <v/>
      </c>
      <c r="G34" s="38">
        <f>IF(A34&lt;=duree_credit*12,mensualite_ha+E34,0)</f>
        <v/>
      </c>
      <c r="H34" s="38">
        <f>C34-F34</f>
        <v/>
      </c>
    </row>
    <row r="35">
      <c r="A35" s="40" t="n">
        <v>32</v>
      </c>
      <c r="B35" s="40">
        <f>ROUNDUP(A35/12,0)</f>
        <v/>
      </c>
      <c r="C35" s="41">
        <f>IF(A35&lt;=duree_credit*12,H34,0)</f>
        <v/>
      </c>
      <c r="D35" s="41">
        <f>IF(A35&lt;=duree_credit*12,C35*taux_credit/12,0)</f>
        <v/>
      </c>
      <c r="E35" s="41">
        <f>IF(A35&lt;=duree_credit*12,assurance_mens,0)</f>
        <v/>
      </c>
      <c r="F35" s="41">
        <f>IF(A35&lt;=duree_credit*12,mensualite_ha-D35,0)</f>
        <v/>
      </c>
      <c r="G35" s="41">
        <f>IF(A35&lt;=duree_credit*12,mensualite_ha+E35,0)</f>
        <v/>
      </c>
      <c r="H35" s="41">
        <f>C35-F35</f>
        <v/>
      </c>
    </row>
    <row r="36">
      <c r="A36" s="37" t="n">
        <v>33</v>
      </c>
      <c r="B36" s="37">
        <f>ROUNDUP(A36/12,0)</f>
        <v/>
      </c>
      <c r="C36" s="38">
        <f>IF(A36&lt;=duree_credit*12,H35,0)</f>
        <v/>
      </c>
      <c r="D36" s="38">
        <f>IF(A36&lt;=duree_credit*12,C36*taux_credit/12,0)</f>
        <v/>
      </c>
      <c r="E36" s="38">
        <f>IF(A36&lt;=duree_credit*12,assurance_mens,0)</f>
        <v/>
      </c>
      <c r="F36" s="38">
        <f>IF(A36&lt;=duree_credit*12,mensualite_ha-D36,0)</f>
        <v/>
      </c>
      <c r="G36" s="38">
        <f>IF(A36&lt;=duree_credit*12,mensualite_ha+E36,0)</f>
        <v/>
      </c>
      <c r="H36" s="38">
        <f>C36-F36</f>
        <v/>
      </c>
    </row>
    <row r="37">
      <c r="A37" s="40" t="n">
        <v>34</v>
      </c>
      <c r="B37" s="40">
        <f>ROUNDUP(A37/12,0)</f>
        <v/>
      </c>
      <c r="C37" s="41">
        <f>IF(A37&lt;=duree_credit*12,H36,0)</f>
        <v/>
      </c>
      <c r="D37" s="41">
        <f>IF(A37&lt;=duree_credit*12,C37*taux_credit/12,0)</f>
        <v/>
      </c>
      <c r="E37" s="41">
        <f>IF(A37&lt;=duree_credit*12,assurance_mens,0)</f>
        <v/>
      </c>
      <c r="F37" s="41">
        <f>IF(A37&lt;=duree_credit*12,mensualite_ha-D37,0)</f>
        <v/>
      </c>
      <c r="G37" s="41">
        <f>IF(A37&lt;=duree_credit*12,mensualite_ha+E37,0)</f>
        <v/>
      </c>
      <c r="H37" s="41">
        <f>C37-F37</f>
        <v/>
      </c>
    </row>
    <row r="38">
      <c r="A38" s="37" t="n">
        <v>35</v>
      </c>
      <c r="B38" s="37">
        <f>ROUNDUP(A38/12,0)</f>
        <v/>
      </c>
      <c r="C38" s="38">
        <f>IF(A38&lt;=duree_credit*12,H37,0)</f>
        <v/>
      </c>
      <c r="D38" s="38">
        <f>IF(A38&lt;=duree_credit*12,C38*taux_credit/12,0)</f>
        <v/>
      </c>
      <c r="E38" s="38">
        <f>IF(A38&lt;=duree_credit*12,assurance_mens,0)</f>
        <v/>
      </c>
      <c r="F38" s="38">
        <f>IF(A38&lt;=duree_credit*12,mensualite_ha-D38,0)</f>
        <v/>
      </c>
      <c r="G38" s="38">
        <f>IF(A38&lt;=duree_credit*12,mensualite_ha+E38,0)</f>
        <v/>
      </c>
      <c r="H38" s="38">
        <f>C38-F38</f>
        <v/>
      </c>
    </row>
    <row r="39">
      <c r="A39" s="40" t="n">
        <v>36</v>
      </c>
      <c r="B39" s="40">
        <f>ROUNDUP(A39/12,0)</f>
        <v/>
      </c>
      <c r="C39" s="41">
        <f>IF(A39&lt;=duree_credit*12,H38,0)</f>
        <v/>
      </c>
      <c r="D39" s="41">
        <f>IF(A39&lt;=duree_credit*12,C39*taux_credit/12,0)</f>
        <v/>
      </c>
      <c r="E39" s="41">
        <f>IF(A39&lt;=duree_credit*12,assurance_mens,0)</f>
        <v/>
      </c>
      <c r="F39" s="41">
        <f>IF(A39&lt;=duree_credit*12,mensualite_ha-D39,0)</f>
        <v/>
      </c>
      <c r="G39" s="41">
        <f>IF(A39&lt;=duree_credit*12,mensualite_ha+E39,0)</f>
        <v/>
      </c>
      <c r="H39" s="41">
        <f>C39-F39</f>
        <v/>
      </c>
    </row>
    <row r="40">
      <c r="A40" s="37" t="n">
        <v>37</v>
      </c>
      <c r="B40" s="37">
        <f>ROUNDUP(A40/12,0)</f>
        <v/>
      </c>
      <c r="C40" s="38">
        <f>IF(A40&lt;=duree_credit*12,H39,0)</f>
        <v/>
      </c>
      <c r="D40" s="38">
        <f>IF(A40&lt;=duree_credit*12,C40*taux_credit/12,0)</f>
        <v/>
      </c>
      <c r="E40" s="38">
        <f>IF(A40&lt;=duree_credit*12,assurance_mens,0)</f>
        <v/>
      </c>
      <c r="F40" s="38">
        <f>IF(A40&lt;=duree_credit*12,mensualite_ha-D40,0)</f>
        <v/>
      </c>
      <c r="G40" s="38">
        <f>IF(A40&lt;=duree_credit*12,mensualite_ha+E40,0)</f>
        <v/>
      </c>
      <c r="H40" s="38">
        <f>C40-F40</f>
        <v/>
      </c>
    </row>
    <row r="41">
      <c r="A41" s="40" t="n">
        <v>38</v>
      </c>
      <c r="B41" s="40">
        <f>ROUNDUP(A41/12,0)</f>
        <v/>
      </c>
      <c r="C41" s="41">
        <f>IF(A41&lt;=duree_credit*12,H40,0)</f>
        <v/>
      </c>
      <c r="D41" s="41">
        <f>IF(A41&lt;=duree_credit*12,C41*taux_credit/12,0)</f>
        <v/>
      </c>
      <c r="E41" s="41">
        <f>IF(A41&lt;=duree_credit*12,assurance_mens,0)</f>
        <v/>
      </c>
      <c r="F41" s="41">
        <f>IF(A41&lt;=duree_credit*12,mensualite_ha-D41,0)</f>
        <v/>
      </c>
      <c r="G41" s="41">
        <f>IF(A41&lt;=duree_credit*12,mensualite_ha+E41,0)</f>
        <v/>
      </c>
      <c r="H41" s="41">
        <f>C41-F41</f>
        <v/>
      </c>
    </row>
    <row r="42">
      <c r="A42" s="37" t="n">
        <v>39</v>
      </c>
      <c r="B42" s="37">
        <f>ROUNDUP(A42/12,0)</f>
        <v/>
      </c>
      <c r="C42" s="38">
        <f>IF(A42&lt;=duree_credit*12,H41,0)</f>
        <v/>
      </c>
      <c r="D42" s="38">
        <f>IF(A42&lt;=duree_credit*12,C42*taux_credit/12,0)</f>
        <v/>
      </c>
      <c r="E42" s="38">
        <f>IF(A42&lt;=duree_credit*12,assurance_mens,0)</f>
        <v/>
      </c>
      <c r="F42" s="38">
        <f>IF(A42&lt;=duree_credit*12,mensualite_ha-D42,0)</f>
        <v/>
      </c>
      <c r="G42" s="38">
        <f>IF(A42&lt;=duree_credit*12,mensualite_ha+E42,0)</f>
        <v/>
      </c>
      <c r="H42" s="38">
        <f>C42-F42</f>
        <v/>
      </c>
    </row>
    <row r="43">
      <c r="A43" s="40" t="n">
        <v>40</v>
      </c>
      <c r="B43" s="40">
        <f>ROUNDUP(A43/12,0)</f>
        <v/>
      </c>
      <c r="C43" s="41">
        <f>IF(A43&lt;=duree_credit*12,H42,0)</f>
        <v/>
      </c>
      <c r="D43" s="41">
        <f>IF(A43&lt;=duree_credit*12,C43*taux_credit/12,0)</f>
        <v/>
      </c>
      <c r="E43" s="41">
        <f>IF(A43&lt;=duree_credit*12,assurance_mens,0)</f>
        <v/>
      </c>
      <c r="F43" s="41">
        <f>IF(A43&lt;=duree_credit*12,mensualite_ha-D43,0)</f>
        <v/>
      </c>
      <c r="G43" s="41">
        <f>IF(A43&lt;=duree_credit*12,mensualite_ha+E43,0)</f>
        <v/>
      </c>
      <c r="H43" s="41">
        <f>C43-F43</f>
        <v/>
      </c>
    </row>
    <row r="44">
      <c r="A44" s="37" t="n">
        <v>41</v>
      </c>
      <c r="B44" s="37">
        <f>ROUNDUP(A44/12,0)</f>
        <v/>
      </c>
      <c r="C44" s="38">
        <f>IF(A44&lt;=duree_credit*12,H43,0)</f>
        <v/>
      </c>
      <c r="D44" s="38">
        <f>IF(A44&lt;=duree_credit*12,C44*taux_credit/12,0)</f>
        <v/>
      </c>
      <c r="E44" s="38">
        <f>IF(A44&lt;=duree_credit*12,assurance_mens,0)</f>
        <v/>
      </c>
      <c r="F44" s="38">
        <f>IF(A44&lt;=duree_credit*12,mensualite_ha-D44,0)</f>
        <v/>
      </c>
      <c r="G44" s="38">
        <f>IF(A44&lt;=duree_credit*12,mensualite_ha+E44,0)</f>
        <v/>
      </c>
      <c r="H44" s="38">
        <f>C44-F44</f>
        <v/>
      </c>
    </row>
    <row r="45">
      <c r="A45" s="40" t="n">
        <v>42</v>
      </c>
      <c r="B45" s="40">
        <f>ROUNDUP(A45/12,0)</f>
        <v/>
      </c>
      <c r="C45" s="41">
        <f>IF(A45&lt;=duree_credit*12,H44,0)</f>
        <v/>
      </c>
      <c r="D45" s="41">
        <f>IF(A45&lt;=duree_credit*12,C45*taux_credit/12,0)</f>
        <v/>
      </c>
      <c r="E45" s="41">
        <f>IF(A45&lt;=duree_credit*12,assurance_mens,0)</f>
        <v/>
      </c>
      <c r="F45" s="41">
        <f>IF(A45&lt;=duree_credit*12,mensualite_ha-D45,0)</f>
        <v/>
      </c>
      <c r="G45" s="41">
        <f>IF(A45&lt;=duree_credit*12,mensualite_ha+E45,0)</f>
        <v/>
      </c>
      <c r="H45" s="41">
        <f>C45-F45</f>
        <v/>
      </c>
    </row>
    <row r="46">
      <c r="A46" s="37" t="n">
        <v>43</v>
      </c>
      <c r="B46" s="37">
        <f>ROUNDUP(A46/12,0)</f>
        <v/>
      </c>
      <c r="C46" s="38">
        <f>IF(A46&lt;=duree_credit*12,H45,0)</f>
        <v/>
      </c>
      <c r="D46" s="38">
        <f>IF(A46&lt;=duree_credit*12,C46*taux_credit/12,0)</f>
        <v/>
      </c>
      <c r="E46" s="38">
        <f>IF(A46&lt;=duree_credit*12,assurance_mens,0)</f>
        <v/>
      </c>
      <c r="F46" s="38">
        <f>IF(A46&lt;=duree_credit*12,mensualite_ha-D46,0)</f>
        <v/>
      </c>
      <c r="G46" s="38">
        <f>IF(A46&lt;=duree_credit*12,mensualite_ha+E46,0)</f>
        <v/>
      </c>
      <c r="H46" s="38">
        <f>C46-F46</f>
        <v/>
      </c>
    </row>
    <row r="47">
      <c r="A47" s="40" t="n">
        <v>44</v>
      </c>
      <c r="B47" s="40">
        <f>ROUNDUP(A47/12,0)</f>
        <v/>
      </c>
      <c r="C47" s="41">
        <f>IF(A47&lt;=duree_credit*12,H46,0)</f>
        <v/>
      </c>
      <c r="D47" s="41">
        <f>IF(A47&lt;=duree_credit*12,C47*taux_credit/12,0)</f>
        <v/>
      </c>
      <c r="E47" s="41">
        <f>IF(A47&lt;=duree_credit*12,assurance_mens,0)</f>
        <v/>
      </c>
      <c r="F47" s="41">
        <f>IF(A47&lt;=duree_credit*12,mensualite_ha-D47,0)</f>
        <v/>
      </c>
      <c r="G47" s="41">
        <f>IF(A47&lt;=duree_credit*12,mensualite_ha+E47,0)</f>
        <v/>
      </c>
      <c r="H47" s="41">
        <f>C47-F47</f>
        <v/>
      </c>
    </row>
    <row r="48">
      <c r="A48" s="37" t="n">
        <v>45</v>
      </c>
      <c r="B48" s="37">
        <f>ROUNDUP(A48/12,0)</f>
        <v/>
      </c>
      <c r="C48" s="38">
        <f>IF(A48&lt;=duree_credit*12,H47,0)</f>
        <v/>
      </c>
      <c r="D48" s="38">
        <f>IF(A48&lt;=duree_credit*12,C48*taux_credit/12,0)</f>
        <v/>
      </c>
      <c r="E48" s="38">
        <f>IF(A48&lt;=duree_credit*12,assurance_mens,0)</f>
        <v/>
      </c>
      <c r="F48" s="38">
        <f>IF(A48&lt;=duree_credit*12,mensualite_ha-D48,0)</f>
        <v/>
      </c>
      <c r="G48" s="38">
        <f>IF(A48&lt;=duree_credit*12,mensualite_ha+E48,0)</f>
        <v/>
      </c>
      <c r="H48" s="38">
        <f>C48-F48</f>
        <v/>
      </c>
    </row>
    <row r="49">
      <c r="A49" s="40" t="n">
        <v>46</v>
      </c>
      <c r="B49" s="40">
        <f>ROUNDUP(A49/12,0)</f>
        <v/>
      </c>
      <c r="C49" s="41">
        <f>IF(A49&lt;=duree_credit*12,H48,0)</f>
        <v/>
      </c>
      <c r="D49" s="41">
        <f>IF(A49&lt;=duree_credit*12,C49*taux_credit/12,0)</f>
        <v/>
      </c>
      <c r="E49" s="41">
        <f>IF(A49&lt;=duree_credit*12,assurance_mens,0)</f>
        <v/>
      </c>
      <c r="F49" s="41">
        <f>IF(A49&lt;=duree_credit*12,mensualite_ha-D49,0)</f>
        <v/>
      </c>
      <c r="G49" s="41">
        <f>IF(A49&lt;=duree_credit*12,mensualite_ha+E49,0)</f>
        <v/>
      </c>
      <c r="H49" s="41">
        <f>C49-F49</f>
        <v/>
      </c>
    </row>
    <row r="50">
      <c r="A50" s="37" t="n">
        <v>47</v>
      </c>
      <c r="B50" s="37">
        <f>ROUNDUP(A50/12,0)</f>
        <v/>
      </c>
      <c r="C50" s="38">
        <f>IF(A50&lt;=duree_credit*12,H49,0)</f>
        <v/>
      </c>
      <c r="D50" s="38">
        <f>IF(A50&lt;=duree_credit*12,C50*taux_credit/12,0)</f>
        <v/>
      </c>
      <c r="E50" s="38">
        <f>IF(A50&lt;=duree_credit*12,assurance_mens,0)</f>
        <v/>
      </c>
      <c r="F50" s="38">
        <f>IF(A50&lt;=duree_credit*12,mensualite_ha-D50,0)</f>
        <v/>
      </c>
      <c r="G50" s="38">
        <f>IF(A50&lt;=duree_credit*12,mensualite_ha+E50,0)</f>
        <v/>
      </c>
      <c r="H50" s="38">
        <f>C50-F50</f>
        <v/>
      </c>
    </row>
    <row r="51">
      <c r="A51" s="40" t="n">
        <v>48</v>
      </c>
      <c r="B51" s="40">
        <f>ROUNDUP(A51/12,0)</f>
        <v/>
      </c>
      <c r="C51" s="41">
        <f>IF(A51&lt;=duree_credit*12,H50,0)</f>
        <v/>
      </c>
      <c r="D51" s="41">
        <f>IF(A51&lt;=duree_credit*12,C51*taux_credit/12,0)</f>
        <v/>
      </c>
      <c r="E51" s="41">
        <f>IF(A51&lt;=duree_credit*12,assurance_mens,0)</f>
        <v/>
      </c>
      <c r="F51" s="41">
        <f>IF(A51&lt;=duree_credit*12,mensualite_ha-D51,0)</f>
        <v/>
      </c>
      <c r="G51" s="41">
        <f>IF(A51&lt;=duree_credit*12,mensualite_ha+E51,0)</f>
        <v/>
      </c>
      <c r="H51" s="41">
        <f>C51-F51</f>
        <v/>
      </c>
    </row>
    <row r="52">
      <c r="A52" s="37" t="n">
        <v>49</v>
      </c>
      <c r="B52" s="37">
        <f>ROUNDUP(A52/12,0)</f>
        <v/>
      </c>
      <c r="C52" s="38">
        <f>IF(A52&lt;=duree_credit*12,H51,0)</f>
        <v/>
      </c>
      <c r="D52" s="38">
        <f>IF(A52&lt;=duree_credit*12,C52*taux_credit/12,0)</f>
        <v/>
      </c>
      <c r="E52" s="38">
        <f>IF(A52&lt;=duree_credit*12,assurance_mens,0)</f>
        <v/>
      </c>
      <c r="F52" s="38">
        <f>IF(A52&lt;=duree_credit*12,mensualite_ha-D52,0)</f>
        <v/>
      </c>
      <c r="G52" s="38">
        <f>IF(A52&lt;=duree_credit*12,mensualite_ha+E52,0)</f>
        <v/>
      </c>
      <c r="H52" s="38">
        <f>C52-F52</f>
        <v/>
      </c>
    </row>
    <row r="53">
      <c r="A53" s="40" t="n">
        <v>50</v>
      </c>
      <c r="B53" s="40">
        <f>ROUNDUP(A53/12,0)</f>
        <v/>
      </c>
      <c r="C53" s="41">
        <f>IF(A53&lt;=duree_credit*12,H52,0)</f>
        <v/>
      </c>
      <c r="D53" s="41">
        <f>IF(A53&lt;=duree_credit*12,C53*taux_credit/12,0)</f>
        <v/>
      </c>
      <c r="E53" s="41">
        <f>IF(A53&lt;=duree_credit*12,assurance_mens,0)</f>
        <v/>
      </c>
      <c r="F53" s="41">
        <f>IF(A53&lt;=duree_credit*12,mensualite_ha-D53,0)</f>
        <v/>
      </c>
      <c r="G53" s="41">
        <f>IF(A53&lt;=duree_credit*12,mensualite_ha+E53,0)</f>
        <v/>
      </c>
      <c r="H53" s="41">
        <f>C53-F53</f>
        <v/>
      </c>
    </row>
    <row r="54">
      <c r="A54" s="37" t="n">
        <v>51</v>
      </c>
      <c r="B54" s="37">
        <f>ROUNDUP(A54/12,0)</f>
        <v/>
      </c>
      <c r="C54" s="38">
        <f>IF(A54&lt;=duree_credit*12,H53,0)</f>
        <v/>
      </c>
      <c r="D54" s="38">
        <f>IF(A54&lt;=duree_credit*12,C54*taux_credit/12,0)</f>
        <v/>
      </c>
      <c r="E54" s="38">
        <f>IF(A54&lt;=duree_credit*12,assurance_mens,0)</f>
        <v/>
      </c>
      <c r="F54" s="38">
        <f>IF(A54&lt;=duree_credit*12,mensualite_ha-D54,0)</f>
        <v/>
      </c>
      <c r="G54" s="38">
        <f>IF(A54&lt;=duree_credit*12,mensualite_ha+E54,0)</f>
        <v/>
      </c>
      <c r="H54" s="38">
        <f>C54-F54</f>
        <v/>
      </c>
    </row>
    <row r="55">
      <c r="A55" s="40" t="n">
        <v>52</v>
      </c>
      <c r="B55" s="40">
        <f>ROUNDUP(A55/12,0)</f>
        <v/>
      </c>
      <c r="C55" s="41">
        <f>IF(A55&lt;=duree_credit*12,H54,0)</f>
        <v/>
      </c>
      <c r="D55" s="41">
        <f>IF(A55&lt;=duree_credit*12,C55*taux_credit/12,0)</f>
        <v/>
      </c>
      <c r="E55" s="41">
        <f>IF(A55&lt;=duree_credit*12,assurance_mens,0)</f>
        <v/>
      </c>
      <c r="F55" s="41">
        <f>IF(A55&lt;=duree_credit*12,mensualite_ha-D55,0)</f>
        <v/>
      </c>
      <c r="G55" s="41">
        <f>IF(A55&lt;=duree_credit*12,mensualite_ha+E55,0)</f>
        <v/>
      </c>
      <c r="H55" s="41">
        <f>C55-F55</f>
        <v/>
      </c>
    </row>
    <row r="56">
      <c r="A56" s="37" t="n">
        <v>53</v>
      </c>
      <c r="B56" s="37">
        <f>ROUNDUP(A56/12,0)</f>
        <v/>
      </c>
      <c r="C56" s="38">
        <f>IF(A56&lt;=duree_credit*12,H55,0)</f>
        <v/>
      </c>
      <c r="D56" s="38">
        <f>IF(A56&lt;=duree_credit*12,C56*taux_credit/12,0)</f>
        <v/>
      </c>
      <c r="E56" s="38">
        <f>IF(A56&lt;=duree_credit*12,assurance_mens,0)</f>
        <v/>
      </c>
      <c r="F56" s="38">
        <f>IF(A56&lt;=duree_credit*12,mensualite_ha-D56,0)</f>
        <v/>
      </c>
      <c r="G56" s="38">
        <f>IF(A56&lt;=duree_credit*12,mensualite_ha+E56,0)</f>
        <v/>
      </c>
      <c r="H56" s="38">
        <f>C56-F56</f>
        <v/>
      </c>
    </row>
    <row r="57">
      <c r="A57" s="40" t="n">
        <v>54</v>
      </c>
      <c r="B57" s="40">
        <f>ROUNDUP(A57/12,0)</f>
        <v/>
      </c>
      <c r="C57" s="41">
        <f>IF(A57&lt;=duree_credit*12,H56,0)</f>
        <v/>
      </c>
      <c r="D57" s="41">
        <f>IF(A57&lt;=duree_credit*12,C57*taux_credit/12,0)</f>
        <v/>
      </c>
      <c r="E57" s="41">
        <f>IF(A57&lt;=duree_credit*12,assurance_mens,0)</f>
        <v/>
      </c>
      <c r="F57" s="41">
        <f>IF(A57&lt;=duree_credit*12,mensualite_ha-D57,0)</f>
        <v/>
      </c>
      <c r="G57" s="41">
        <f>IF(A57&lt;=duree_credit*12,mensualite_ha+E57,0)</f>
        <v/>
      </c>
      <c r="H57" s="41">
        <f>C57-F57</f>
        <v/>
      </c>
    </row>
    <row r="58">
      <c r="A58" s="37" t="n">
        <v>55</v>
      </c>
      <c r="B58" s="37">
        <f>ROUNDUP(A58/12,0)</f>
        <v/>
      </c>
      <c r="C58" s="38">
        <f>IF(A58&lt;=duree_credit*12,H57,0)</f>
        <v/>
      </c>
      <c r="D58" s="38">
        <f>IF(A58&lt;=duree_credit*12,C58*taux_credit/12,0)</f>
        <v/>
      </c>
      <c r="E58" s="38">
        <f>IF(A58&lt;=duree_credit*12,assurance_mens,0)</f>
        <v/>
      </c>
      <c r="F58" s="38">
        <f>IF(A58&lt;=duree_credit*12,mensualite_ha-D58,0)</f>
        <v/>
      </c>
      <c r="G58" s="38">
        <f>IF(A58&lt;=duree_credit*12,mensualite_ha+E58,0)</f>
        <v/>
      </c>
      <c r="H58" s="38">
        <f>C58-F58</f>
        <v/>
      </c>
    </row>
    <row r="59">
      <c r="A59" s="40" t="n">
        <v>56</v>
      </c>
      <c r="B59" s="40">
        <f>ROUNDUP(A59/12,0)</f>
        <v/>
      </c>
      <c r="C59" s="41">
        <f>IF(A59&lt;=duree_credit*12,H58,0)</f>
        <v/>
      </c>
      <c r="D59" s="41">
        <f>IF(A59&lt;=duree_credit*12,C59*taux_credit/12,0)</f>
        <v/>
      </c>
      <c r="E59" s="41">
        <f>IF(A59&lt;=duree_credit*12,assurance_mens,0)</f>
        <v/>
      </c>
      <c r="F59" s="41">
        <f>IF(A59&lt;=duree_credit*12,mensualite_ha-D59,0)</f>
        <v/>
      </c>
      <c r="G59" s="41">
        <f>IF(A59&lt;=duree_credit*12,mensualite_ha+E59,0)</f>
        <v/>
      </c>
      <c r="H59" s="41">
        <f>C59-F59</f>
        <v/>
      </c>
    </row>
    <row r="60">
      <c r="A60" s="37" t="n">
        <v>57</v>
      </c>
      <c r="B60" s="37">
        <f>ROUNDUP(A60/12,0)</f>
        <v/>
      </c>
      <c r="C60" s="38">
        <f>IF(A60&lt;=duree_credit*12,H59,0)</f>
        <v/>
      </c>
      <c r="D60" s="38">
        <f>IF(A60&lt;=duree_credit*12,C60*taux_credit/12,0)</f>
        <v/>
      </c>
      <c r="E60" s="38">
        <f>IF(A60&lt;=duree_credit*12,assurance_mens,0)</f>
        <v/>
      </c>
      <c r="F60" s="38">
        <f>IF(A60&lt;=duree_credit*12,mensualite_ha-D60,0)</f>
        <v/>
      </c>
      <c r="G60" s="38">
        <f>IF(A60&lt;=duree_credit*12,mensualite_ha+E60,0)</f>
        <v/>
      </c>
      <c r="H60" s="38">
        <f>C60-F60</f>
        <v/>
      </c>
    </row>
    <row r="61">
      <c r="A61" s="40" t="n">
        <v>58</v>
      </c>
      <c r="B61" s="40">
        <f>ROUNDUP(A61/12,0)</f>
        <v/>
      </c>
      <c r="C61" s="41">
        <f>IF(A61&lt;=duree_credit*12,H60,0)</f>
        <v/>
      </c>
      <c r="D61" s="41">
        <f>IF(A61&lt;=duree_credit*12,C61*taux_credit/12,0)</f>
        <v/>
      </c>
      <c r="E61" s="41">
        <f>IF(A61&lt;=duree_credit*12,assurance_mens,0)</f>
        <v/>
      </c>
      <c r="F61" s="41">
        <f>IF(A61&lt;=duree_credit*12,mensualite_ha-D61,0)</f>
        <v/>
      </c>
      <c r="G61" s="41">
        <f>IF(A61&lt;=duree_credit*12,mensualite_ha+E61,0)</f>
        <v/>
      </c>
      <c r="H61" s="41">
        <f>C61-F61</f>
        <v/>
      </c>
    </row>
    <row r="62">
      <c r="A62" s="37" t="n">
        <v>59</v>
      </c>
      <c r="B62" s="37">
        <f>ROUNDUP(A62/12,0)</f>
        <v/>
      </c>
      <c r="C62" s="38">
        <f>IF(A62&lt;=duree_credit*12,H61,0)</f>
        <v/>
      </c>
      <c r="D62" s="38">
        <f>IF(A62&lt;=duree_credit*12,C62*taux_credit/12,0)</f>
        <v/>
      </c>
      <c r="E62" s="38">
        <f>IF(A62&lt;=duree_credit*12,assurance_mens,0)</f>
        <v/>
      </c>
      <c r="F62" s="38">
        <f>IF(A62&lt;=duree_credit*12,mensualite_ha-D62,0)</f>
        <v/>
      </c>
      <c r="G62" s="38">
        <f>IF(A62&lt;=duree_credit*12,mensualite_ha+E62,0)</f>
        <v/>
      </c>
      <c r="H62" s="38">
        <f>C62-F62</f>
        <v/>
      </c>
    </row>
    <row r="63">
      <c r="A63" s="40" t="n">
        <v>60</v>
      </c>
      <c r="B63" s="40">
        <f>ROUNDUP(A63/12,0)</f>
        <v/>
      </c>
      <c r="C63" s="41">
        <f>IF(A63&lt;=duree_credit*12,H62,0)</f>
        <v/>
      </c>
      <c r="D63" s="41">
        <f>IF(A63&lt;=duree_credit*12,C63*taux_credit/12,0)</f>
        <v/>
      </c>
      <c r="E63" s="41">
        <f>IF(A63&lt;=duree_credit*12,assurance_mens,0)</f>
        <v/>
      </c>
      <c r="F63" s="41">
        <f>IF(A63&lt;=duree_credit*12,mensualite_ha-D63,0)</f>
        <v/>
      </c>
      <c r="G63" s="41">
        <f>IF(A63&lt;=duree_credit*12,mensualite_ha+E63,0)</f>
        <v/>
      </c>
      <c r="H63" s="41">
        <f>C63-F63</f>
        <v/>
      </c>
    </row>
    <row r="64">
      <c r="A64" s="37" t="n">
        <v>61</v>
      </c>
      <c r="B64" s="37">
        <f>ROUNDUP(A64/12,0)</f>
        <v/>
      </c>
      <c r="C64" s="38">
        <f>IF(A64&lt;=duree_credit*12,H63,0)</f>
        <v/>
      </c>
      <c r="D64" s="38">
        <f>IF(A64&lt;=duree_credit*12,C64*taux_credit/12,0)</f>
        <v/>
      </c>
      <c r="E64" s="38">
        <f>IF(A64&lt;=duree_credit*12,assurance_mens,0)</f>
        <v/>
      </c>
      <c r="F64" s="38">
        <f>IF(A64&lt;=duree_credit*12,mensualite_ha-D64,0)</f>
        <v/>
      </c>
      <c r="G64" s="38">
        <f>IF(A64&lt;=duree_credit*12,mensualite_ha+E64,0)</f>
        <v/>
      </c>
      <c r="H64" s="38">
        <f>C64-F64</f>
        <v/>
      </c>
    </row>
    <row r="65">
      <c r="A65" s="40" t="n">
        <v>62</v>
      </c>
      <c r="B65" s="40">
        <f>ROUNDUP(A65/12,0)</f>
        <v/>
      </c>
      <c r="C65" s="41">
        <f>IF(A65&lt;=duree_credit*12,H64,0)</f>
        <v/>
      </c>
      <c r="D65" s="41">
        <f>IF(A65&lt;=duree_credit*12,C65*taux_credit/12,0)</f>
        <v/>
      </c>
      <c r="E65" s="41">
        <f>IF(A65&lt;=duree_credit*12,assurance_mens,0)</f>
        <v/>
      </c>
      <c r="F65" s="41">
        <f>IF(A65&lt;=duree_credit*12,mensualite_ha-D65,0)</f>
        <v/>
      </c>
      <c r="G65" s="41">
        <f>IF(A65&lt;=duree_credit*12,mensualite_ha+E65,0)</f>
        <v/>
      </c>
      <c r="H65" s="41">
        <f>C65-F65</f>
        <v/>
      </c>
    </row>
    <row r="66">
      <c r="A66" s="37" t="n">
        <v>63</v>
      </c>
      <c r="B66" s="37">
        <f>ROUNDUP(A66/12,0)</f>
        <v/>
      </c>
      <c r="C66" s="38">
        <f>IF(A66&lt;=duree_credit*12,H65,0)</f>
        <v/>
      </c>
      <c r="D66" s="38">
        <f>IF(A66&lt;=duree_credit*12,C66*taux_credit/12,0)</f>
        <v/>
      </c>
      <c r="E66" s="38">
        <f>IF(A66&lt;=duree_credit*12,assurance_mens,0)</f>
        <v/>
      </c>
      <c r="F66" s="38">
        <f>IF(A66&lt;=duree_credit*12,mensualite_ha-D66,0)</f>
        <v/>
      </c>
      <c r="G66" s="38">
        <f>IF(A66&lt;=duree_credit*12,mensualite_ha+E66,0)</f>
        <v/>
      </c>
      <c r="H66" s="38">
        <f>C66-F66</f>
        <v/>
      </c>
    </row>
    <row r="67">
      <c r="A67" s="40" t="n">
        <v>64</v>
      </c>
      <c r="B67" s="40">
        <f>ROUNDUP(A67/12,0)</f>
        <v/>
      </c>
      <c r="C67" s="41">
        <f>IF(A67&lt;=duree_credit*12,H66,0)</f>
        <v/>
      </c>
      <c r="D67" s="41">
        <f>IF(A67&lt;=duree_credit*12,C67*taux_credit/12,0)</f>
        <v/>
      </c>
      <c r="E67" s="41">
        <f>IF(A67&lt;=duree_credit*12,assurance_mens,0)</f>
        <v/>
      </c>
      <c r="F67" s="41">
        <f>IF(A67&lt;=duree_credit*12,mensualite_ha-D67,0)</f>
        <v/>
      </c>
      <c r="G67" s="41">
        <f>IF(A67&lt;=duree_credit*12,mensualite_ha+E67,0)</f>
        <v/>
      </c>
      <c r="H67" s="41">
        <f>C67-F67</f>
        <v/>
      </c>
    </row>
    <row r="68">
      <c r="A68" s="37" t="n">
        <v>65</v>
      </c>
      <c r="B68" s="37">
        <f>ROUNDUP(A68/12,0)</f>
        <v/>
      </c>
      <c r="C68" s="38">
        <f>IF(A68&lt;=duree_credit*12,H67,0)</f>
        <v/>
      </c>
      <c r="D68" s="38">
        <f>IF(A68&lt;=duree_credit*12,C68*taux_credit/12,0)</f>
        <v/>
      </c>
      <c r="E68" s="38">
        <f>IF(A68&lt;=duree_credit*12,assurance_mens,0)</f>
        <v/>
      </c>
      <c r="F68" s="38">
        <f>IF(A68&lt;=duree_credit*12,mensualite_ha-D68,0)</f>
        <v/>
      </c>
      <c r="G68" s="38">
        <f>IF(A68&lt;=duree_credit*12,mensualite_ha+E68,0)</f>
        <v/>
      </c>
      <c r="H68" s="38">
        <f>C68-F68</f>
        <v/>
      </c>
    </row>
    <row r="69">
      <c r="A69" s="40" t="n">
        <v>66</v>
      </c>
      <c r="B69" s="40">
        <f>ROUNDUP(A69/12,0)</f>
        <v/>
      </c>
      <c r="C69" s="41">
        <f>IF(A69&lt;=duree_credit*12,H68,0)</f>
        <v/>
      </c>
      <c r="D69" s="41">
        <f>IF(A69&lt;=duree_credit*12,C69*taux_credit/12,0)</f>
        <v/>
      </c>
      <c r="E69" s="41">
        <f>IF(A69&lt;=duree_credit*12,assurance_mens,0)</f>
        <v/>
      </c>
      <c r="F69" s="41">
        <f>IF(A69&lt;=duree_credit*12,mensualite_ha-D69,0)</f>
        <v/>
      </c>
      <c r="G69" s="41">
        <f>IF(A69&lt;=duree_credit*12,mensualite_ha+E69,0)</f>
        <v/>
      </c>
      <c r="H69" s="41">
        <f>C69-F69</f>
        <v/>
      </c>
    </row>
    <row r="70">
      <c r="A70" s="37" t="n">
        <v>67</v>
      </c>
      <c r="B70" s="37">
        <f>ROUNDUP(A70/12,0)</f>
        <v/>
      </c>
      <c r="C70" s="38">
        <f>IF(A70&lt;=duree_credit*12,H69,0)</f>
        <v/>
      </c>
      <c r="D70" s="38">
        <f>IF(A70&lt;=duree_credit*12,C70*taux_credit/12,0)</f>
        <v/>
      </c>
      <c r="E70" s="38">
        <f>IF(A70&lt;=duree_credit*12,assurance_mens,0)</f>
        <v/>
      </c>
      <c r="F70" s="38">
        <f>IF(A70&lt;=duree_credit*12,mensualite_ha-D70,0)</f>
        <v/>
      </c>
      <c r="G70" s="38">
        <f>IF(A70&lt;=duree_credit*12,mensualite_ha+E70,0)</f>
        <v/>
      </c>
      <c r="H70" s="38">
        <f>C70-F70</f>
        <v/>
      </c>
    </row>
    <row r="71">
      <c r="A71" s="40" t="n">
        <v>68</v>
      </c>
      <c r="B71" s="40">
        <f>ROUNDUP(A71/12,0)</f>
        <v/>
      </c>
      <c r="C71" s="41">
        <f>IF(A71&lt;=duree_credit*12,H70,0)</f>
        <v/>
      </c>
      <c r="D71" s="41">
        <f>IF(A71&lt;=duree_credit*12,C71*taux_credit/12,0)</f>
        <v/>
      </c>
      <c r="E71" s="41">
        <f>IF(A71&lt;=duree_credit*12,assurance_mens,0)</f>
        <v/>
      </c>
      <c r="F71" s="41">
        <f>IF(A71&lt;=duree_credit*12,mensualite_ha-D71,0)</f>
        <v/>
      </c>
      <c r="G71" s="41">
        <f>IF(A71&lt;=duree_credit*12,mensualite_ha+E71,0)</f>
        <v/>
      </c>
      <c r="H71" s="41">
        <f>C71-F71</f>
        <v/>
      </c>
    </row>
    <row r="72">
      <c r="A72" s="37" t="n">
        <v>69</v>
      </c>
      <c r="B72" s="37">
        <f>ROUNDUP(A72/12,0)</f>
        <v/>
      </c>
      <c r="C72" s="38">
        <f>IF(A72&lt;=duree_credit*12,H71,0)</f>
        <v/>
      </c>
      <c r="D72" s="38">
        <f>IF(A72&lt;=duree_credit*12,C72*taux_credit/12,0)</f>
        <v/>
      </c>
      <c r="E72" s="38">
        <f>IF(A72&lt;=duree_credit*12,assurance_mens,0)</f>
        <v/>
      </c>
      <c r="F72" s="38">
        <f>IF(A72&lt;=duree_credit*12,mensualite_ha-D72,0)</f>
        <v/>
      </c>
      <c r="G72" s="38">
        <f>IF(A72&lt;=duree_credit*12,mensualite_ha+E72,0)</f>
        <v/>
      </c>
      <c r="H72" s="38">
        <f>C72-F72</f>
        <v/>
      </c>
    </row>
    <row r="73">
      <c r="A73" s="40" t="n">
        <v>70</v>
      </c>
      <c r="B73" s="40">
        <f>ROUNDUP(A73/12,0)</f>
        <v/>
      </c>
      <c r="C73" s="41">
        <f>IF(A73&lt;=duree_credit*12,H72,0)</f>
        <v/>
      </c>
      <c r="D73" s="41">
        <f>IF(A73&lt;=duree_credit*12,C73*taux_credit/12,0)</f>
        <v/>
      </c>
      <c r="E73" s="41">
        <f>IF(A73&lt;=duree_credit*12,assurance_mens,0)</f>
        <v/>
      </c>
      <c r="F73" s="41">
        <f>IF(A73&lt;=duree_credit*12,mensualite_ha-D73,0)</f>
        <v/>
      </c>
      <c r="G73" s="41">
        <f>IF(A73&lt;=duree_credit*12,mensualite_ha+E73,0)</f>
        <v/>
      </c>
      <c r="H73" s="41">
        <f>C73-F73</f>
        <v/>
      </c>
    </row>
    <row r="74">
      <c r="A74" s="37" t="n">
        <v>71</v>
      </c>
      <c r="B74" s="37">
        <f>ROUNDUP(A74/12,0)</f>
        <v/>
      </c>
      <c r="C74" s="38">
        <f>IF(A74&lt;=duree_credit*12,H73,0)</f>
        <v/>
      </c>
      <c r="D74" s="38">
        <f>IF(A74&lt;=duree_credit*12,C74*taux_credit/12,0)</f>
        <v/>
      </c>
      <c r="E74" s="38">
        <f>IF(A74&lt;=duree_credit*12,assurance_mens,0)</f>
        <v/>
      </c>
      <c r="F74" s="38">
        <f>IF(A74&lt;=duree_credit*12,mensualite_ha-D74,0)</f>
        <v/>
      </c>
      <c r="G74" s="38">
        <f>IF(A74&lt;=duree_credit*12,mensualite_ha+E74,0)</f>
        <v/>
      </c>
      <c r="H74" s="38">
        <f>C74-F74</f>
        <v/>
      </c>
    </row>
    <row r="75">
      <c r="A75" s="40" t="n">
        <v>72</v>
      </c>
      <c r="B75" s="40">
        <f>ROUNDUP(A75/12,0)</f>
        <v/>
      </c>
      <c r="C75" s="41">
        <f>IF(A75&lt;=duree_credit*12,H74,0)</f>
        <v/>
      </c>
      <c r="D75" s="41">
        <f>IF(A75&lt;=duree_credit*12,C75*taux_credit/12,0)</f>
        <v/>
      </c>
      <c r="E75" s="41">
        <f>IF(A75&lt;=duree_credit*12,assurance_mens,0)</f>
        <v/>
      </c>
      <c r="F75" s="41">
        <f>IF(A75&lt;=duree_credit*12,mensualite_ha-D75,0)</f>
        <v/>
      </c>
      <c r="G75" s="41">
        <f>IF(A75&lt;=duree_credit*12,mensualite_ha+E75,0)</f>
        <v/>
      </c>
      <c r="H75" s="41">
        <f>C75-F75</f>
        <v/>
      </c>
    </row>
    <row r="76">
      <c r="A76" s="37" t="n">
        <v>73</v>
      </c>
      <c r="B76" s="37">
        <f>ROUNDUP(A76/12,0)</f>
        <v/>
      </c>
      <c r="C76" s="38">
        <f>IF(A76&lt;=duree_credit*12,H75,0)</f>
        <v/>
      </c>
      <c r="D76" s="38">
        <f>IF(A76&lt;=duree_credit*12,C76*taux_credit/12,0)</f>
        <v/>
      </c>
      <c r="E76" s="38">
        <f>IF(A76&lt;=duree_credit*12,assurance_mens,0)</f>
        <v/>
      </c>
      <c r="F76" s="38">
        <f>IF(A76&lt;=duree_credit*12,mensualite_ha-D76,0)</f>
        <v/>
      </c>
      <c r="G76" s="38">
        <f>IF(A76&lt;=duree_credit*12,mensualite_ha+E76,0)</f>
        <v/>
      </c>
      <c r="H76" s="38">
        <f>C76-F76</f>
        <v/>
      </c>
    </row>
    <row r="77">
      <c r="A77" s="40" t="n">
        <v>74</v>
      </c>
      <c r="B77" s="40">
        <f>ROUNDUP(A77/12,0)</f>
        <v/>
      </c>
      <c r="C77" s="41">
        <f>IF(A77&lt;=duree_credit*12,H76,0)</f>
        <v/>
      </c>
      <c r="D77" s="41">
        <f>IF(A77&lt;=duree_credit*12,C77*taux_credit/12,0)</f>
        <v/>
      </c>
      <c r="E77" s="41">
        <f>IF(A77&lt;=duree_credit*12,assurance_mens,0)</f>
        <v/>
      </c>
      <c r="F77" s="41">
        <f>IF(A77&lt;=duree_credit*12,mensualite_ha-D77,0)</f>
        <v/>
      </c>
      <c r="G77" s="41">
        <f>IF(A77&lt;=duree_credit*12,mensualite_ha+E77,0)</f>
        <v/>
      </c>
      <c r="H77" s="41">
        <f>C77-F77</f>
        <v/>
      </c>
    </row>
    <row r="78">
      <c r="A78" s="37" t="n">
        <v>75</v>
      </c>
      <c r="B78" s="37">
        <f>ROUNDUP(A78/12,0)</f>
        <v/>
      </c>
      <c r="C78" s="38">
        <f>IF(A78&lt;=duree_credit*12,H77,0)</f>
        <v/>
      </c>
      <c r="D78" s="38">
        <f>IF(A78&lt;=duree_credit*12,C78*taux_credit/12,0)</f>
        <v/>
      </c>
      <c r="E78" s="38">
        <f>IF(A78&lt;=duree_credit*12,assurance_mens,0)</f>
        <v/>
      </c>
      <c r="F78" s="38">
        <f>IF(A78&lt;=duree_credit*12,mensualite_ha-D78,0)</f>
        <v/>
      </c>
      <c r="G78" s="38">
        <f>IF(A78&lt;=duree_credit*12,mensualite_ha+E78,0)</f>
        <v/>
      </c>
      <c r="H78" s="38">
        <f>C78-F78</f>
        <v/>
      </c>
    </row>
    <row r="79">
      <c r="A79" s="40" t="n">
        <v>76</v>
      </c>
      <c r="B79" s="40">
        <f>ROUNDUP(A79/12,0)</f>
        <v/>
      </c>
      <c r="C79" s="41">
        <f>IF(A79&lt;=duree_credit*12,H78,0)</f>
        <v/>
      </c>
      <c r="D79" s="41">
        <f>IF(A79&lt;=duree_credit*12,C79*taux_credit/12,0)</f>
        <v/>
      </c>
      <c r="E79" s="41">
        <f>IF(A79&lt;=duree_credit*12,assurance_mens,0)</f>
        <v/>
      </c>
      <c r="F79" s="41">
        <f>IF(A79&lt;=duree_credit*12,mensualite_ha-D79,0)</f>
        <v/>
      </c>
      <c r="G79" s="41">
        <f>IF(A79&lt;=duree_credit*12,mensualite_ha+E79,0)</f>
        <v/>
      </c>
      <c r="H79" s="41">
        <f>C79-F79</f>
        <v/>
      </c>
    </row>
    <row r="80">
      <c r="A80" s="37" t="n">
        <v>77</v>
      </c>
      <c r="B80" s="37">
        <f>ROUNDUP(A80/12,0)</f>
        <v/>
      </c>
      <c r="C80" s="38">
        <f>IF(A80&lt;=duree_credit*12,H79,0)</f>
        <v/>
      </c>
      <c r="D80" s="38">
        <f>IF(A80&lt;=duree_credit*12,C80*taux_credit/12,0)</f>
        <v/>
      </c>
      <c r="E80" s="38">
        <f>IF(A80&lt;=duree_credit*12,assurance_mens,0)</f>
        <v/>
      </c>
      <c r="F80" s="38">
        <f>IF(A80&lt;=duree_credit*12,mensualite_ha-D80,0)</f>
        <v/>
      </c>
      <c r="G80" s="38">
        <f>IF(A80&lt;=duree_credit*12,mensualite_ha+E80,0)</f>
        <v/>
      </c>
      <c r="H80" s="38">
        <f>C80-F80</f>
        <v/>
      </c>
    </row>
    <row r="81">
      <c r="A81" s="40" t="n">
        <v>78</v>
      </c>
      <c r="B81" s="40">
        <f>ROUNDUP(A81/12,0)</f>
        <v/>
      </c>
      <c r="C81" s="41">
        <f>IF(A81&lt;=duree_credit*12,H80,0)</f>
        <v/>
      </c>
      <c r="D81" s="41">
        <f>IF(A81&lt;=duree_credit*12,C81*taux_credit/12,0)</f>
        <v/>
      </c>
      <c r="E81" s="41">
        <f>IF(A81&lt;=duree_credit*12,assurance_mens,0)</f>
        <v/>
      </c>
      <c r="F81" s="41">
        <f>IF(A81&lt;=duree_credit*12,mensualite_ha-D81,0)</f>
        <v/>
      </c>
      <c r="G81" s="41">
        <f>IF(A81&lt;=duree_credit*12,mensualite_ha+E81,0)</f>
        <v/>
      </c>
      <c r="H81" s="41">
        <f>C81-F81</f>
        <v/>
      </c>
    </row>
    <row r="82">
      <c r="A82" s="37" t="n">
        <v>79</v>
      </c>
      <c r="B82" s="37">
        <f>ROUNDUP(A82/12,0)</f>
        <v/>
      </c>
      <c r="C82" s="38">
        <f>IF(A82&lt;=duree_credit*12,H81,0)</f>
        <v/>
      </c>
      <c r="D82" s="38">
        <f>IF(A82&lt;=duree_credit*12,C82*taux_credit/12,0)</f>
        <v/>
      </c>
      <c r="E82" s="38">
        <f>IF(A82&lt;=duree_credit*12,assurance_mens,0)</f>
        <v/>
      </c>
      <c r="F82" s="38">
        <f>IF(A82&lt;=duree_credit*12,mensualite_ha-D82,0)</f>
        <v/>
      </c>
      <c r="G82" s="38">
        <f>IF(A82&lt;=duree_credit*12,mensualite_ha+E82,0)</f>
        <v/>
      </c>
      <c r="H82" s="38">
        <f>C82-F82</f>
        <v/>
      </c>
    </row>
    <row r="83">
      <c r="A83" s="40" t="n">
        <v>80</v>
      </c>
      <c r="B83" s="40">
        <f>ROUNDUP(A83/12,0)</f>
        <v/>
      </c>
      <c r="C83" s="41">
        <f>IF(A83&lt;=duree_credit*12,H82,0)</f>
        <v/>
      </c>
      <c r="D83" s="41">
        <f>IF(A83&lt;=duree_credit*12,C83*taux_credit/12,0)</f>
        <v/>
      </c>
      <c r="E83" s="41">
        <f>IF(A83&lt;=duree_credit*12,assurance_mens,0)</f>
        <v/>
      </c>
      <c r="F83" s="41">
        <f>IF(A83&lt;=duree_credit*12,mensualite_ha-D83,0)</f>
        <v/>
      </c>
      <c r="G83" s="41">
        <f>IF(A83&lt;=duree_credit*12,mensualite_ha+E83,0)</f>
        <v/>
      </c>
      <c r="H83" s="41">
        <f>C83-F83</f>
        <v/>
      </c>
    </row>
    <row r="84">
      <c r="A84" s="37" t="n">
        <v>81</v>
      </c>
      <c r="B84" s="37">
        <f>ROUNDUP(A84/12,0)</f>
        <v/>
      </c>
      <c r="C84" s="38">
        <f>IF(A84&lt;=duree_credit*12,H83,0)</f>
        <v/>
      </c>
      <c r="D84" s="38">
        <f>IF(A84&lt;=duree_credit*12,C84*taux_credit/12,0)</f>
        <v/>
      </c>
      <c r="E84" s="38">
        <f>IF(A84&lt;=duree_credit*12,assurance_mens,0)</f>
        <v/>
      </c>
      <c r="F84" s="38">
        <f>IF(A84&lt;=duree_credit*12,mensualite_ha-D84,0)</f>
        <v/>
      </c>
      <c r="G84" s="38">
        <f>IF(A84&lt;=duree_credit*12,mensualite_ha+E84,0)</f>
        <v/>
      </c>
      <c r="H84" s="38">
        <f>C84-F84</f>
        <v/>
      </c>
    </row>
    <row r="85">
      <c r="A85" s="40" t="n">
        <v>82</v>
      </c>
      <c r="B85" s="40">
        <f>ROUNDUP(A85/12,0)</f>
        <v/>
      </c>
      <c r="C85" s="41">
        <f>IF(A85&lt;=duree_credit*12,H84,0)</f>
        <v/>
      </c>
      <c r="D85" s="41">
        <f>IF(A85&lt;=duree_credit*12,C85*taux_credit/12,0)</f>
        <v/>
      </c>
      <c r="E85" s="41">
        <f>IF(A85&lt;=duree_credit*12,assurance_mens,0)</f>
        <v/>
      </c>
      <c r="F85" s="41">
        <f>IF(A85&lt;=duree_credit*12,mensualite_ha-D85,0)</f>
        <v/>
      </c>
      <c r="G85" s="41">
        <f>IF(A85&lt;=duree_credit*12,mensualite_ha+E85,0)</f>
        <v/>
      </c>
      <c r="H85" s="41">
        <f>C85-F85</f>
        <v/>
      </c>
    </row>
    <row r="86">
      <c r="A86" s="37" t="n">
        <v>83</v>
      </c>
      <c r="B86" s="37">
        <f>ROUNDUP(A86/12,0)</f>
        <v/>
      </c>
      <c r="C86" s="38">
        <f>IF(A86&lt;=duree_credit*12,H85,0)</f>
        <v/>
      </c>
      <c r="D86" s="38">
        <f>IF(A86&lt;=duree_credit*12,C86*taux_credit/12,0)</f>
        <v/>
      </c>
      <c r="E86" s="38">
        <f>IF(A86&lt;=duree_credit*12,assurance_mens,0)</f>
        <v/>
      </c>
      <c r="F86" s="38">
        <f>IF(A86&lt;=duree_credit*12,mensualite_ha-D86,0)</f>
        <v/>
      </c>
      <c r="G86" s="38">
        <f>IF(A86&lt;=duree_credit*12,mensualite_ha+E86,0)</f>
        <v/>
      </c>
      <c r="H86" s="38">
        <f>C86-F86</f>
        <v/>
      </c>
    </row>
    <row r="87">
      <c r="A87" s="40" t="n">
        <v>84</v>
      </c>
      <c r="B87" s="40">
        <f>ROUNDUP(A87/12,0)</f>
        <v/>
      </c>
      <c r="C87" s="41">
        <f>IF(A87&lt;=duree_credit*12,H86,0)</f>
        <v/>
      </c>
      <c r="D87" s="41">
        <f>IF(A87&lt;=duree_credit*12,C87*taux_credit/12,0)</f>
        <v/>
      </c>
      <c r="E87" s="41">
        <f>IF(A87&lt;=duree_credit*12,assurance_mens,0)</f>
        <v/>
      </c>
      <c r="F87" s="41">
        <f>IF(A87&lt;=duree_credit*12,mensualite_ha-D87,0)</f>
        <v/>
      </c>
      <c r="G87" s="41">
        <f>IF(A87&lt;=duree_credit*12,mensualite_ha+E87,0)</f>
        <v/>
      </c>
      <c r="H87" s="41">
        <f>C87-F87</f>
        <v/>
      </c>
    </row>
    <row r="88">
      <c r="A88" s="37" t="n">
        <v>85</v>
      </c>
      <c r="B88" s="37">
        <f>ROUNDUP(A88/12,0)</f>
        <v/>
      </c>
      <c r="C88" s="38">
        <f>IF(A88&lt;=duree_credit*12,H87,0)</f>
        <v/>
      </c>
      <c r="D88" s="38">
        <f>IF(A88&lt;=duree_credit*12,C88*taux_credit/12,0)</f>
        <v/>
      </c>
      <c r="E88" s="38">
        <f>IF(A88&lt;=duree_credit*12,assurance_mens,0)</f>
        <v/>
      </c>
      <c r="F88" s="38">
        <f>IF(A88&lt;=duree_credit*12,mensualite_ha-D88,0)</f>
        <v/>
      </c>
      <c r="G88" s="38">
        <f>IF(A88&lt;=duree_credit*12,mensualite_ha+E88,0)</f>
        <v/>
      </c>
      <c r="H88" s="38">
        <f>C88-F88</f>
        <v/>
      </c>
    </row>
    <row r="89">
      <c r="A89" s="40" t="n">
        <v>86</v>
      </c>
      <c r="B89" s="40">
        <f>ROUNDUP(A89/12,0)</f>
        <v/>
      </c>
      <c r="C89" s="41">
        <f>IF(A89&lt;=duree_credit*12,H88,0)</f>
        <v/>
      </c>
      <c r="D89" s="41">
        <f>IF(A89&lt;=duree_credit*12,C89*taux_credit/12,0)</f>
        <v/>
      </c>
      <c r="E89" s="41">
        <f>IF(A89&lt;=duree_credit*12,assurance_mens,0)</f>
        <v/>
      </c>
      <c r="F89" s="41">
        <f>IF(A89&lt;=duree_credit*12,mensualite_ha-D89,0)</f>
        <v/>
      </c>
      <c r="G89" s="41">
        <f>IF(A89&lt;=duree_credit*12,mensualite_ha+E89,0)</f>
        <v/>
      </c>
      <c r="H89" s="41">
        <f>C89-F89</f>
        <v/>
      </c>
    </row>
    <row r="90">
      <c r="A90" s="37" t="n">
        <v>87</v>
      </c>
      <c r="B90" s="37">
        <f>ROUNDUP(A90/12,0)</f>
        <v/>
      </c>
      <c r="C90" s="38">
        <f>IF(A90&lt;=duree_credit*12,H89,0)</f>
        <v/>
      </c>
      <c r="D90" s="38">
        <f>IF(A90&lt;=duree_credit*12,C90*taux_credit/12,0)</f>
        <v/>
      </c>
      <c r="E90" s="38">
        <f>IF(A90&lt;=duree_credit*12,assurance_mens,0)</f>
        <v/>
      </c>
      <c r="F90" s="38">
        <f>IF(A90&lt;=duree_credit*12,mensualite_ha-D90,0)</f>
        <v/>
      </c>
      <c r="G90" s="38">
        <f>IF(A90&lt;=duree_credit*12,mensualite_ha+E90,0)</f>
        <v/>
      </c>
      <c r="H90" s="38">
        <f>C90-F90</f>
        <v/>
      </c>
    </row>
    <row r="91">
      <c r="A91" s="40" t="n">
        <v>88</v>
      </c>
      <c r="B91" s="40">
        <f>ROUNDUP(A91/12,0)</f>
        <v/>
      </c>
      <c r="C91" s="41">
        <f>IF(A91&lt;=duree_credit*12,H90,0)</f>
        <v/>
      </c>
      <c r="D91" s="41">
        <f>IF(A91&lt;=duree_credit*12,C91*taux_credit/12,0)</f>
        <v/>
      </c>
      <c r="E91" s="41">
        <f>IF(A91&lt;=duree_credit*12,assurance_mens,0)</f>
        <v/>
      </c>
      <c r="F91" s="41">
        <f>IF(A91&lt;=duree_credit*12,mensualite_ha-D91,0)</f>
        <v/>
      </c>
      <c r="G91" s="41">
        <f>IF(A91&lt;=duree_credit*12,mensualite_ha+E91,0)</f>
        <v/>
      </c>
      <c r="H91" s="41">
        <f>C91-F91</f>
        <v/>
      </c>
    </row>
    <row r="92">
      <c r="A92" s="37" t="n">
        <v>89</v>
      </c>
      <c r="B92" s="37">
        <f>ROUNDUP(A92/12,0)</f>
        <v/>
      </c>
      <c r="C92" s="38">
        <f>IF(A92&lt;=duree_credit*12,H91,0)</f>
        <v/>
      </c>
      <c r="D92" s="38">
        <f>IF(A92&lt;=duree_credit*12,C92*taux_credit/12,0)</f>
        <v/>
      </c>
      <c r="E92" s="38">
        <f>IF(A92&lt;=duree_credit*12,assurance_mens,0)</f>
        <v/>
      </c>
      <c r="F92" s="38">
        <f>IF(A92&lt;=duree_credit*12,mensualite_ha-D92,0)</f>
        <v/>
      </c>
      <c r="G92" s="38">
        <f>IF(A92&lt;=duree_credit*12,mensualite_ha+E92,0)</f>
        <v/>
      </c>
      <c r="H92" s="38">
        <f>C92-F92</f>
        <v/>
      </c>
    </row>
    <row r="93">
      <c r="A93" s="40" t="n">
        <v>90</v>
      </c>
      <c r="B93" s="40">
        <f>ROUNDUP(A93/12,0)</f>
        <v/>
      </c>
      <c r="C93" s="41">
        <f>IF(A93&lt;=duree_credit*12,H92,0)</f>
        <v/>
      </c>
      <c r="D93" s="41">
        <f>IF(A93&lt;=duree_credit*12,C93*taux_credit/12,0)</f>
        <v/>
      </c>
      <c r="E93" s="41">
        <f>IF(A93&lt;=duree_credit*12,assurance_mens,0)</f>
        <v/>
      </c>
      <c r="F93" s="41">
        <f>IF(A93&lt;=duree_credit*12,mensualite_ha-D93,0)</f>
        <v/>
      </c>
      <c r="G93" s="41">
        <f>IF(A93&lt;=duree_credit*12,mensualite_ha+E93,0)</f>
        <v/>
      </c>
      <c r="H93" s="41">
        <f>C93-F93</f>
        <v/>
      </c>
    </row>
    <row r="94">
      <c r="A94" s="37" t="n">
        <v>91</v>
      </c>
      <c r="B94" s="37">
        <f>ROUNDUP(A94/12,0)</f>
        <v/>
      </c>
      <c r="C94" s="38">
        <f>IF(A94&lt;=duree_credit*12,H93,0)</f>
        <v/>
      </c>
      <c r="D94" s="38">
        <f>IF(A94&lt;=duree_credit*12,C94*taux_credit/12,0)</f>
        <v/>
      </c>
      <c r="E94" s="38">
        <f>IF(A94&lt;=duree_credit*12,assurance_mens,0)</f>
        <v/>
      </c>
      <c r="F94" s="38">
        <f>IF(A94&lt;=duree_credit*12,mensualite_ha-D94,0)</f>
        <v/>
      </c>
      <c r="G94" s="38">
        <f>IF(A94&lt;=duree_credit*12,mensualite_ha+E94,0)</f>
        <v/>
      </c>
      <c r="H94" s="38">
        <f>C94-F94</f>
        <v/>
      </c>
    </row>
    <row r="95">
      <c r="A95" s="40" t="n">
        <v>92</v>
      </c>
      <c r="B95" s="40">
        <f>ROUNDUP(A95/12,0)</f>
        <v/>
      </c>
      <c r="C95" s="41">
        <f>IF(A95&lt;=duree_credit*12,H94,0)</f>
        <v/>
      </c>
      <c r="D95" s="41">
        <f>IF(A95&lt;=duree_credit*12,C95*taux_credit/12,0)</f>
        <v/>
      </c>
      <c r="E95" s="41">
        <f>IF(A95&lt;=duree_credit*12,assurance_mens,0)</f>
        <v/>
      </c>
      <c r="F95" s="41">
        <f>IF(A95&lt;=duree_credit*12,mensualite_ha-D95,0)</f>
        <v/>
      </c>
      <c r="G95" s="41">
        <f>IF(A95&lt;=duree_credit*12,mensualite_ha+E95,0)</f>
        <v/>
      </c>
      <c r="H95" s="41">
        <f>C95-F95</f>
        <v/>
      </c>
    </row>
    <row r="96">
      <c r="A96" s="37" t="n">
        <v>93</v>
      </c>
      <c r="B96" s="37">
        <f>ROUNDUP(A96/12,0)</f>
        <v/>
      </c>
      <c r="C96" s="38">
        <f>IF(A96&lt;=duree_credit*12,H95,0)</f>
        <v/>
      </c>
      <c r="D96" s="38">
        <f>IF(A96&lt;=duree_credit*12,C96*taux_credit/12,0)</f>
        <v/>
      </c>
      <c r="E96" s="38">
        <f>IF(A96&lt;=duree_credit*12,assurance_mens,0)</f>
        <v/>
      </c>
      <c r="F96" s="38">
        <f>IF(A96&lt;=duree_credit*12,mensualite_ha-D96,0)</f>
        <v/>
      </c>
      <c r="G96" s="38">
        <f>IF(A96&lt;=duree_credit*12,mensualite_ha+E96,0)</f>
        <v/>
      </c>
      <c r="H96" s="38">
        <f>C96-F96</f>
        <v/>
      </c>
    </row>
    <row r="97">
      <c r="A97" s="40" t="n">
        <v>94</v>
      </c>
      <c r="B97" s="40">
        <f>ROUNDUP(A97/12,0)</f>
        <v/>
      </c>
      <c r="C97" s="41">
        <f>IF(A97&lt;=duree_credit*12,H96,0)</f>
        <v/>
      </c>
      <c r="D97" s="41">
        <f>IF(A97&lt;=duree_credit*12,C97*taux_credit/12,0)</f>
        <v/>
      </c>
      <c r="E97" s="41">
        <f>IF(A97&lt;=duree_credit*12,assurance_mens,0)</f>
        <v/>
      </c>
      <c r="F97" s="41">
        <f>IF(A97&lt;=duree_credit*12,mensualite_ha-D97,0)</f>
        <v/>
      </c>
      <c r="G97" s="41">
        <f>IF(A97&lt;=duree_credit*12,mensualite_ha+E97,0)</f>
        <v/>
      </c>
      <c r="H97" s="41">
        <f>C97-F97</f>
        <v/>
      </c>
    </row>
    <row r="98">
      <c r="A98" s="37" t="n">
        <v>95</v>
      </c>
      <c r="B98" s="37">
        <f>ROUNDUP(A98/12,0)</f>
        <v/>
      </c>
      <c r="C98" s="38">
        <f>IF(A98&lt;=duree_credit*12,H97,0)</f>
        <v/>
      </c>
      <c r="D98" s="38">
        <f>IF(A98&lt;=duree_credit*12,C98*taux_credit/12,0)</f>
        <v/>
      </c>
      <c r="E98" s="38">
        <f>IF(A98&lt;=duree_credit*12,assurance_mens,0)</f>
        <v/>
      </c>
      <c r="F98" s="38">
        <f>IF(A98&lt;=duree_credit*12,mensualite_ha-D98,0)</f>
        <v/>
      </c>
      <c r="G98" s="38">
        <f>IF(A98&lt;=duree_credit*12,mensualite_ha+E98,0)</f>
        <v/>
      </c>
      <c r="H98" s="38">
        <f>C98-F98</f>
        <v/>
      </c>
    </row>
    <row r="99">
      <c r="A99" s="40" t="n">
        <v>96</v>
      </c>
      <c r="B99" s="40">
        <f>ROUNDUP(A99/12,0)</f>
        <v/>
      </c>
      <c r="C99" s="41">
        <f>IF(A99&lt;=duree_credit*12,H98,0)</f>
        <v/>
      </c>
      <c r="D99" s="41">
        <f>IF(A99&lt;=duree_credit*12,C99*taux_credit/12,0)</f>
        <v/>
      </c>
      <c r="E99" s="41">
        <f>IF(A99&lt;=duree_credit*12,assurance_mens,0)</f>
        <v/>
      </c>
      <c r="F99" s="41">
        <f>IF(A99&lt;=duree_credit*12,mensualite_ha-D99,0)</f>
        <v/>
      </c>
      <c r="G99" s="41">
        <f>IF(A99&lt;=duree_credit*12,mensualite_ha+E99,0)</f>
        <v/>
      </c>
      <c r="H99" s="41">
        <f>C99-F99</f>
        <v/>
      </c>
    </row>
    <row r="100">
      <c r="A100" s="37" t="n">
        <v>97</v>
      </c>
      <c r="B100" s="37">
        <f>ROUNDUP(A100/12,0)</f>
        <v/>
      </c>
      <c r="C100" s="38">
        <f>IF(A100&lt;=duree_credit*12,H99,0)</f>
        <v/>
      </c>
      <c r="D100" s="38">
        <f>IF(A100&lt;=duree_credit*12,C100*taux_credit/12,0)</f>
        <v/>
      </c>
      <c r="E100" s="38">
        <f>IF(A100&lt;=duree_credit*12,assurance_mens,0)</f>
        <v/>
      </c>
      <c r="F100" s="38">
        <f>IF(A100&lt;=duree_credit*12,mensualite_ha-D100,0)</f>
        <v/>
      </c>
      <c r="G100" s="38">
        <f>IF(A100&lt;=duree_credit*12,mensualite_ha+E100,0)</f>
        <v/>
      </c>
      <c r="H100" s="38">
        <f>C100-F100</f>
        <v/>
      </c>
    </row>
    <row r="101">
      <c r="A101" s="40" t="n">
        <v>98</v>
      </c>
      <c r="B101" s="40">
        <f>ROUNDUP(A101/12,0)</f>
        <v/>
      </c>
      <c r="C101" s="41">
        <f>IF(A101&lt;=duree_credit*12,H100,0)</f>
        <v/>
      </c>
      <c r="D101" s="41">
        <f>IF(A101&lt;=duree_credit*12,C101*taux_credit/12,0)</f>
        <v/>
      </c>
      <c r="E101" s="41">
        <f>IF(A101&lt;=duree_credit*12,assurance_mens,0)</f>
        <v/>
      </c>
      <c r="F101" s="41">
        <f>IF(A101&lt;=duree_credit*12,mensualite_ha-D101,0)</f>
        <v/>
      </c>
      <c r="G101" s="41">
        <f>IF(A101&lt;=duree_credit*12,mensualite_ha+E101,0)</f>
        <v/>
      </c>
      <c r="H101" s="41">
        <f>C101-F101</f>
        <v/>
      </c>
    </row>
    <row r="102">
      <c r="A102" s="37" t="n">
        <v>99</v>
      </c>
      <c r="B102" s="37">
        <f>ROUNDUP(A102/12,0)</f>
        <v/>
      </c>
      <c r="C102" s="38">
        <f>IF(A102&lt;=duree_credit*12,H101,0)</f>
        <v/>
      </c>
      <c r="D102" s="38">
        <f>IF(A102&lt;=duree_credit*12,C102*taux_credit/12,0)</f>
        <v/>
      </c>
      <c r="E102" s="38">
        <f>IF(A102&lt;=duree_credit*12,assurance_mens,0)</f>
        <v/>
      </c>
      <c r="F102" s="38">
        <f>IF(A102&lt;=duree_credit*12,mensualite_ha-D102,0)</f>
        <v/>
      </c>
      <c r="G102" s="38">
        <f>IF(A102&lt;=duree_credit*12,mensualite_ha+E102,0)</f>
        <v/>
      </c>
      <c r="H102" s="38">
        <f>C102-F102</f>
        <v/>
      </c>
    </row>
    <row r="103">
      <c r="A103" s="40" t="n">
        <v>100</v>
      </c>
      <c r="B103" s="40">
        <f>ROUNDUP(A103/12,0)</f>
        <v/>
      </c>
      <c r="C103" s="41">
        <f>IF(A103&lt;=duree_credit*12,H102,0)</f>
        <v/>
      </c>
      <c r="D103" s="41">
        <f>IF(A103&lt;=duree_credit*12,C103*taux_credit/12,0)</f>
        <v/>
      </c>
      <c r="E103" s="41">
        <f>IF(A103&lt;=duree_credit*12,assurance_mens,0)</f>
        <v/>
      </c>
      <c r="F103" s="41">
        <f>IF(A103&lt;=duree_credit*12,mensualite_ha-D103,0)</f>
        <v/>
      </c>
      <c r="G103" s="41">
        <f>IF(A103&lt;=duree_credit*12,mensualite_ha+E103,0)</f>
        <v/>
      </c>
      <c r="H103" s="41">
        <f>C103-F103</f>
        <v/>
      </c>
    </row>
    <row r="104">
      <c r="A104" s="37" t="n">
        <v>101</v>
      </c>
      <c r="B104" s="37">
        <f>ROUNDUP(A104/12,0)</f>
        <v/>
      </c>
      <c r="C104" s="38">
        <f>IF(A104&lt;=duree_credit*12,H103,0)</f>
        <v/>
      </c>
      <c r="D104" s="38">
        <f>IF(A104&lt;=duree_credit*12,C104*taux_credit/12,0)</f>
        <v/>
      </c>
      <c r="E104" s="38">
        <f>IF(A104&lt;=duree_credit*12,assurance_mens,0)</f>
        <v/>
      </c>
      <c r="F104" s="38">
        <f>IF(A104&lt;=duree_credit*12,mensualite_ha-D104,0)</f>
        <v/>
      </c>
      <c r="G104" s="38">
        <f>IF(A104&lt;=duree_credit*12,mensualite_ha+E104,0)</f>
        <v/>
      </c>
      <c r="H104" s="38">
        <f>C104-F104</f>
        <v/>
      </c>
    </row>
    <row r="105">
      <c r="A105" s="40" t="n">
        <v>102</v>
      </c>
      <c r="B105" s="40">
        <f>ROUNDUP(A105/12,0)</f>
        <v/>
      </c>
      <c r="C105" s="41">
        <f>IF(A105&lt;=duree_credit*12,H104,0)</f>
        <v/>
      </c>
      <c r="D105" s="41">
        <f>IF(A105&lt;=duree_credit*12,C105*taux_credit/12,0)</f>
        <v/>
      </c>
      <c r="E105" s="41">
        <f>IF(A105&lt;=duree_credit*12,assurance_mens,0)</f>
        <v/>
      </c>
      <c r="F105" s="41">
        <f>IF(A105&lt;=duree_credit*12,mensualite_ha-D105,0)</f>
        <v/>
      </c>
      <c r="G105" s="41">
        <f>IF(A105&lt;=duree_credit*12,mensualite_ha+E105,0)</f>
        <v/>
      </c>
      <c r="H105" s="41">
        <f>C105-F105</f>
        <v/>
      </c>
    </row>
    <row r="106">
      <c r="A106" s="37" t="n">
        <v>103</v>
      </c>
      <c r="B106" s="37">
        <f>ROUNDUP(A106/12,0)</f>
        <v/>
      </c>
      <c r="C106" s="38">
        <f>IF(A106&lt;=duree_credit*12,H105,0)</f>
        <v/>
      </c>
      <c r="D106" s="38">
        <f>IF(A106&lt;=duree_credit*12,C106*taux_credit/12,0)</f>
        <v/>
      </c>
      <c r="E106" s="38">
        <f>IF(A106&lt;=duree_credit*12,assurance_mens,0)</f>
        <v/>
      </c>
      <c r="F106" s="38">
        <f>IF(A106&lt;=duree_credit*12,mensualite_ha-D106,0)</f>
        <v/>
      </c>
      <c r="G106" s="38">
        <f>IF(A106&lt;=duree_credit*12,mensualite_ha+E106,0)</f>
        <v/>
      </c>
      <c r="H106" s="38">
        <f>C106-F106</f>
        <v/>
      </c>
    </row>
    <row r="107">
      <c r="A107" s="40" t="n">
        <v>104</v>
      </c>
      <c r="B107" s="40">
        <f>ROUNDUP(A107/12,0)</f>
        <v/>
      </c>
      <c r="C107" s="41">
        <f>IF(A107&lt;=duree_credit*12,H106,0)</f>
        <v/>
      </c>
      <c r="D107" s="41">
        <f>IF(A107&lt;=duree_credit*12,C107*taux_credit/12,0)</f>
        <v/>
      </c>
      <c r="E107" s="41">
        <f>IF(A107&lt;=duree_credit*12,assurance_mens,0)</f>
        <v/>
      </c>
      <c r="F107" s="41">
        <f>IF(A107&lt;=duree_credit*12,mensualite_ha-D107,0)</f>
        <v/>
      </c>
      <c r="G107" s="41">
        <f>IF(A107&lt;=duree_credit*12,mensualite_ha+E107,0)</f>
        <v/>
      </c>
      <c r="H107" s="41">
        <f>C107-F107</f>
        <v/>
      </c>
    </row>
    <row r="108">
      <c r="A108" s="37" t="n">
        <v>105</v>
      </c>
      <c r="B108" s="37">
        <f>ROUNDUP(A108/12,0)</f>
        <v/>
      </c>
      <c r="C108" s="38">
        <f>IF(A108&lt;=duree_credit*12,H107,0)</f>
        <v/>
      </c>
      <c r="D108" s="38">
        <f>IF(A108&lt;=duree_credit*12,C108*taux_credit/12,0)</f>
        <v/>
      </c>
      <c r="E108" s="38">
        <f>IF(A108&lt;=duree_credit*12,assurance_mens,0)</f>
        <v/>
      </c>
      <c r="F108" s="38">
        <f>IF(A108&lt;=duree_credit*12,mensualite_ha-D108,0)</f>
        <v/>
      </c>
      <c r="G108" s="38">
        <f>IF(A108&lt;=duree_credit*12,mensualite_ha+E108,0)</f>
        <v/>
      </c>
      <c r="H108" s="38">
        <f>C108-F108</f>
        <v/>
      </c>
    </row>
    <row r="109">
      <c r="A109" s="40" t="n">
        <v>106</v>
      </c>
      <c r="B109" s="40">
        <f>ROUNDUP(A109/12,0)</f>
        <v/>
      </c>
      <c r="C109" s="41">
        <f>IF(A109&lt;=duree_credit*12,H108,0)</f>
        <v/>
      </c>
      <c r="D109" s="41">
        <f>IF(A109&lt;=duree_credit*12,C109*taux_credit/12,0)</f>
        <v/>
      </c>
      <c r="E109" s="41">
        <f>IF(A109&lt;=duree_credit*12,assurance_mens,0)</f>
        <v/>
      </c>
      <c r="F109" s="41">
        <f>IF(A109&lt;=duree_credit*12,mensualite_ha-D109,0)</f>
        <v/>
      </c>
      <c r="G109" s="41">
        <f>IF(A109&lt;=duree_credit*12,mensualite_ha+E109,0)</f>
        <v/>
      </c>
      <c r="H109" s="41">
        <f>C109-F109</f>
        <v/>
      </c>
    </row>
    <row r="110">
      <c r="A110" s="37" t="n">
        <v>107</v>
      </c>
      <c r="B110" s="37">
        <f>ROUNDUP(A110/12,0)</f>
        <v/>
      </c>
      <c r="C110" s="38">
        <f>IF(A110&lt;=duree_credit*12,H109,0)</f>
        <v/>
      </c>
      <c r="D110" s="38">
        <f>IF(A110&lt;=duree_credit*12,C110*taux_credit/12,0)</f>
        <v/>
      </c>
      <c r="E110" s="38">
        <f>IF(A110&lt;=duree_credit*12,assurance_mens,0)</f>
        <v/>
      </c>
      <c r="F110" s="38">
        <f>IF(A110&lt;=duree_credit*12,mensualite_ha-D110,0)</f>
        <v/>
      </c>
      <c r="G110" s="38">
        <f>IF(A110&lt;=duree_credit*12,mensualite_ha+E110,0)</f>
        <v/>
      </c>
      <c r="H110" s="38">
        <f>C110-F110</f>
        <v/>
      </c>
    </row>
    <row r="111">
      <c r="A111" s="40" t="n">
        <v>108</v>
      </c>
      <c r="B111" s="40">
        <f>ROUNDUP(A111/12,0)</f>
        <v/>
      </c>
      <c r="C111" s="41">
        <f>IF(A111&lt;=duree_credit*12,H110,0)</f>
        <v/>
      </c>
      <c r="D111" s="41">
        <f>IF(A111&lt;=duree_credit*12,C111*taux_credit/12,0)</f>
        <v/>
      </c>
      <c r="E111" s="41">
        <f>IF(A111&lt;=duree_credit*12,assurance_mens,0)</f>
        <v/>
      </c>
      <c r="F111" s="41">
        <f>IF(A111&lt;=duree_credit*12,mensualite_ha-D111,0)</f>
        <v/>
      </c>
      <c r="G111" s="41">
        <f>IF(A111&lt;=duree_credit*12,mensualite_ha+E111,0)</f>
        <v/>
      </c>
      <c r="H111" s="41">
        <f>C111-F111</f>
        <v/>
      </c>
    </row>
    <row r="112">
      <c r="A112" s="37" t="n">
        <v>109</v>
      </c>
      <c r="B112" s="37">
        <f>ROUNDUP(A112/12,0)</f>
        <v/>
      </c>
      <c r="C112" s="38">
        <f>IF(A112&lt;=duree_credit*12,H111,0)</f>
        <v/>
      </c>
      <c r="D112" s="38">
        <f>IF(A112&lt;=duree_credit*12,C112*taux_credit/12,0)</f>
        <v/>
      </c>
      <c r="E112" s="38">
        <f>IF(A112&lt;=duree_credit*12,assurance_mens,0)</f>
        <v/>
      </c>
      <c r="F112" s="38">
        <f>IF(A112&lt;=duree_credit*12,mensualite_ha-D112,0)</f>
        <v/>
      </c>
      <c r="G112" s="38">
        <f>IF(A112&lt;=duree_credit*12,mensualite_ha+E112,0)</f>
        <v/>
      </c>
      <c r="H112" s="38">
        <f>C112-F112</f>
        <v/>
      </c>
    </row>
    <row r="113">
      <c r="A113" s="40" t="n">
        <v>110</v>
      </c>
      <c r="B113" s="40">
        <f>ROUNDUP(A113/12,0)</f>
        <v/>
      </c>
      <c r="C113" s="41">
        <f>IF(A113&lt;=duree_credit*12,H112,0)</f>
        <v/>
      </c>
      <c r="D113" s="41">
        <f>IF(A113&lt;=duree_credit*12,C113*taux_credit/12,0)</f>
        <v/>
      </c>
      <c r="E113" s="41">
        <f>IF(A113&lt;=duree_credit*12,assurance_mens,0)</f>
        <v/>
      </c>
      <c r="F113" s="41">
        <f>IF(A113&lt;=duree_credit*12,mensualite_ha-D113,0)</f>
        <v/>
      </c>
      <c r="G113" s="41">
        <f>IF(A113&lt;=duree_credit*12,mensualite_ha+E113,0)</f>
        <v/>
      </c>
      <c r="H113" s="41">
        <f>C113-F113</f>
        <v/>
      </c>
    </row>
    <row r="114">
      <c r="A114" s="37" t="n">
        <v>111</v>
      </c>
      <c r="B114" s="37">
        <f>ROUNDUP(A114/12,0)</f>
        <v/>
      </c>
      <c r="C114" s="38">
        <f>IF(A114&lt;=duree_credit*12,H113,0)</f>
        <v/>
      </c>
      <c r="D114" s="38">
        <f>IF(A114&lt;=duree_credit*12,C114*taux_credit/12,0)</f>
        <v/>
      </c>
      <c r="E114" s="38">
        <f>IF(A114&lt;=duree_credit*12,assurance_mens,0)</f>
        <v/>
      </c>
      <c r="F114" s="38">
        <f>IF(A114&lt;=duree_credit*12,mensualite_ha-D114,0)</f>
        <v/>
      </c>
      <c r="G114" s="38">
        <f>IF(A114&lt;=duree_credit*12,mensualite_ha+E114,0)</f>
        <v/>
      </c>
      <c r="H114" s="38">
        <f>C114-F114</f>
        <v/>
      </c>
    </row>
    <row r="115">
      <c r="A115" s="40" t="n">
        <v>112</v>
      </c>
      <c r="B115" s="40">
        <f>ROUNDUP(A115/12,0)</f>
        <v/>
      </c>
      <c r="C115" s="41">
        <f>IF(A115&lt;=duree_credit*12,H114,0)</f>
        <v/>
      </c>
      <c r="D115" s="41">
        <f>IF(A115&lt;=duree_credit*12,C115*taux_credit/12,0)</f>
        <v/>
      </c>
      <c r="E115" s="41">
        <f>IF(A115&lt;=duree_credit*12,assurance_mens,0)</f>
        <v/>
      </c>
      <c r="F115" s="41">
        <f>IF(A115&lt;=duree_credit*12,mensualite_ha-D115,0)</f>
        <v/>
      </c>
      <c r="G115" s="41">
        <f>IF(A115&lt;=duree_credit*12,mensualite_ha+E115,0)</f>
        <v/>
      </c>
      <c r="H115" s="41">
        <f>C115-F115</f>
        <v/>
      </c>
    </row>
    <row r="116">
      <c r="A116" s="37" t="n">
        <v>113</v>
      </c>
      <c r="B116" s="37">
        <f>ROUNDUP(A116/12,0)</f>
        <v/>
      </c>
      <c r="C116" s="38">
        <f>IF(A116&lt;=duree_credit*12,H115,0)</f>
        <v/>
      </c>
      <c r="D116" s="38">
        <f>IF(A116&lt;=duree_credit*12,C116*taux_credit/12,0)</f>
        <v/>
      </c>
      <c r="E116" s="38">
        <f>IF(A116&lt;=duree_credit*12,assurance_mens,0)</f>
        <v/>
      </c>
      <c r="F116" s="38">
        <f>IF(A116&lt;=duree_credit*12,mensualite_ha-D116,0)</f>
        <v/>
      </c>
      <c r="G116" s="38">
        <f>IF(A116&lt;=duree_credit*12,mensualite_ha+E116,0)</f>
        <v/>
      </c>
      <c r="H116" s="38">
        <f>C116-F116</f>
        <v/>
      </c>
    </row>
    <row r="117">
      <c r="A117" s="40" t="n">
        <v>114</v>
      </c>
      <c r="B117" s="40">
        <f>ROUNDUP(A117/12,0)</f>
        <v/>
      </c>
      <c r="C117" s="41">
        <f>IF(A117&lt;=duree_credit*12,H116,0)</f>
        <v/>
      </c>
      <c r="D117" s="41">
        <f>IF(A117&lt;=duree_credit*12,C117*taux_credit/12,0)</f>
        <v/>
      </c>
      <c r="E117" s="41">
        <f>IF(A117&lt;=duree_credit*12,assurance_mens,0)</f>
        <v/>
      </c>
      <c r="F117" s="41">
        <f>IF(A117&lt;=duree_credit*12,mensualite_ha-D117,0)</f>
        <v/>
      </c>
      <c r="G117" s="41">
        <f>IF(A117&lt;=duree_credit*12,mensualite_ha+E117,0)</f>
        <v/>
      </c>
      <c r="H117" s="41">
        <f>C117-F117</f>
        <v/>
      </c>
    </row>
    <row r="118">
      <c r="A118" s="37" t="n">
        <v>115</v>
      </c>
      <c r="B118" s="37">
        <f>ROUNDUP(A118/12,0)</f>
        <v/>
      </c>
      <c r="C118" s="38">
        <f>IF(A118&lt;=duree_credit*12,H117,0)</f>
        <v/>
      </c>
      <c r="D118" s="38">
        <f>IF(A118&lt;=duree_credit*12,C118*taux_credit/12,0)</f>
        <v/>
      </c>
      <c r="E118" s="38">
        <f>IF(A118&lt;=duree_credit*12,assurance_mens,0)</f>
        <v/>
      </c>
      <c r="F118" s="38">
        <f>IF(A118&lt;=duree_credit*12,mensualite_ha-D118,0)</f>
        <v/>
      </c>
      <c r="G118" s="38">
        <f>IF(A118&lt;=duree_credit*12,mensualite_ha+E118,0)</f>
        <v/>
      </c>
      <c r="H118" s="38">
        <f>C118-F118</f>
        <v/>
      </c>
    </row>
    <row r="119">
      <c r="A119" s="40" t="n">
        <v>116</v>
      </c>
      <c r="B119" s="40">
        <f>ROUNDUP(A119/12,0)</f>
        <v/>
      </c>
      <c r="C119" s="41">
        <f>IF(A119&lt;=duree_credit*12,H118,0)</f>
        <v/>
      </c>
      <c r="D119" s="41">
        <f>IF(A119&lt;=duree_credit*12,C119*taux_credit/12,0)</f>
        <v/>
      </c>
      <c r="E119" s="41">
        <f>IF(A119&lt;=duree_credit*12,assurance_mens,0)</f>
        <v/>
      </c>
      <c r="F119" s="41">
        <f>IF(A119&lt;=duree_credit*12,mensualite_ha-D119,0)</f>
        <v/>
      </c>
      <c r="G119" s="41">
        <f>IF(A119&lt;=duree_credit*12,mensualite_ha+E119,0)</f>
        <v/>
      </c>
      <c r="H119" s="41">
        <f>C119-F119</f>
        <v/>
      </c>
    </row>
    <row r="120">
      <c r="A120" s="37" t="n">
        <v>117</v>
      </c>
      <c r="B120" s="37">
        <f>ROUNDUP(A120/12,0)</f>
        <v/>
      </c>
      <c r="C120" s="38">
        <f>IF(A120&lt;=duree_credit*12,H119,0)</f>
        <v/>
      </c>
      <c r="D120" s="38">
        <f>IF(A120&lt;=duree_credit*12,C120*taux_credit/12,0)</f>
        <v/>
      </c>
      <c r="E120" s="38">
        <f>IF(A120&lt;=duree_credit*12,assurance_mens,0)</f>
        <v/>
      </c>
      <c r="F120" s="38">
        <f>IF(A120&lt;=duree_credit*12,mensualite_ha-D120,0)</f>
        <v/>
      </c>
      <c r="G120" s="38">
        <f>IF(A120&lt;=duree_credit*12,mensualite_ha+E120,0)</f>
        <v/>
      </c>
      <c r="H120" s="38">
        <f>C120-F120</f>
        <v/>
      </c>
    </row>
    <row r="121">
      <c r="A121" s="40" t="n">
        <v>118</v>
      </c>
      <c r="B121" s="40">
        <f>ROUNDUP(A121/12,0)</f>
        <v/>
      </c>
      <c r="C121" s="41">
        <f>IF(A121&lt;=duree_credit*12,H120,0)</f>
        <v/>
      </c>
      <c r="D121" s="41">
        <f>IF(A121&lt;=duree_credit*12,C121*taux_credit/12,0)</f>
        <v/>
      </c>
      <c r="E121" s="41">
        <f>IF(A121&lt;=duree_credit*12,assurance_mens,0)</f>
        <v/>
      </c>
      <c r="F121" s="41">
        <f>IF(A121&lt;=duree_credit*12,mensualite_ha-D121,0)</f>
        <v/>
      </c>
      <c r="G121" s="41">
        <f>IF(A121&lt;=duree_credit*12,mensualite_ha+E121,0)</f>
        <v/>
      </c>
      <c r="H121" s="41">
        <f>C121-F121</f>
        <v/>
      </c>
    </row>
    <row r="122">
      <c r="A122" s="37" t="n">
        <v>119</v>
      </c>
      <c r="B122" s="37">
        <f>ROUNDUP(A122/12,0)</f>
        <v/>
      </c>
      <c r="C122" s="38">
        <f>IF(A122&lt;=duree_credit*12,H121,0)</f>
        <v/>
      </c>
      <c r="D122" s="38">
        <f>IF(A122&lt;=duree_credit*12,C122*taux_credit/12,0)</f>
        <v/>
      </c>
      <c r="E122" s="38">
        <f>IF(A122&lt;=duree_credit*12,assurance_mens,0)</f>
        <v/>
      </c>
      <c r="F122" s="38">
        <f>IF(A122&lt;=duree_credit*12,mensualite_ha-D122,0)</f>
        <v/>
      </c>
      <c r="G122" s="38">
        <f>IF(A122&lt;=duree_credit*12,mensualite_ha+E122,0)</f>
        <v/>
      </c>
      <c r="H122" s="38">
        <f>C122-F122</f>
        <v/>
      </c>
    </row>
    <row r="123">
      <c r="A123" s="40" t="n">
        <v>120</v>
      </c>
      <c r="B123" s="40">
        <f>ROUNDUP(A123/12,0)</f>
        <v/>
      </c>
      <c r="C123" s="41">
        <f>IF(A123&lt;=duree_credit*12,H122,0)</f>
        <v/>
      </c>
      <c r="D123" s="41">
        <f>IF(A123&lt;=duree_credit*12,C123*taux_credit/12,0)</f>
        <v/>
      </c>
      <c r="E123" s="41">
        <f>IF(A123&lt;=duree_credit*12,assurance_mens,0)</f>
        <v/>
      </c>
      <c r="F123" s="41">
        <f>IF(A123&lt;=duree_credit*12,mensualite_ha-D123,0)</f>
        <v/>
      </c>
      <c r="G123" s="41">
        <f>IF(A123&lt;=duree_credit*12,mensualite_ha+E123,0)</f>
        <v/>
      </c>
      <c r="H123" s="41">
        <f>C123-F123</f>
        <v/>
      </c>
    </row>
    <row r="124">
      <c r="A124" s="37" t="n">
        <v>121</v>
      </c>
      <c r="B124" s="37">
        <f>ROUNDUP(A124/12,0)</f>
        <v/>
      </c>
      <c r="C124" s="38">
        <f>IF(A124&lt;=duree_credit*12,H123,0)</f>
        <v/>
      </c>
      <c r="D124" s="38">
        <f>IF(A124&lt;=duree_credit*12,C124*taux_credit/12,0)</f>
        <v/>
      </c>
      <c r="E124" s="38">
        <f>IF(A124&lt;=duree_credit*12,assurance_mens,0)</f>
        <v/>
      </c>
      <c r="F124" s="38">
        <f>IF(A124&lt;=duree_credit*12,mensualite_ha-D124,0)</f>
        <v/>
      </c>
      <c r="G124" s="38">
        <f>IF(A124&lt;=duree_credit*12,mensualite_ha+E124,0)</f>
        <v/>
      </c>
      <c r="H124" s="38">
        <f>C124-F124</f>
        <v/>
      </c>
    </row>
    <row r="125">
      <c r="A125" s="40" t="n">
        <v>122</v>
      </c>
      <c r="B125" s="40">
        <f>ROUNDUP(A125/12,0)</f>
        <v/>
      </c>
      <c r="C125" s="41">
        <f>IF(A125&lt;=duree_credit*12,H124,0)</f>
        <v/>
      </c>
      <c r="D125" s="41">
        <f>IF(A125&lt;=duree_credit*12,C125*taux_credit/12,0)</f>
        <v/>
      </c>
      <c r="E125" s="41">
        <f>IF(A125&lt;=duree_credit*12,assurance_mens,0)</f>
        <v/>
      </c>
      <c r="F125" s="41">
        <f>IF(A125&lt;=duree_credit*12,mensualite_ha-D125,0)</f>
        <v/>
      </c>
      <c r="G125" s="41">
        <f>IF(A125&lt;=duree_credit*12,mensualite_ha+E125,0)</f>
        <v/>
      </c>
      <c r="H125" s="41">
        <f>C125-F125</f>
        <v/>
      </c>
    </row>
    <row r="126">
      <c r="A126" s="37" t="n">
        <v>123</v>
      </c>
      <c r="B126" s="37">
        <f>ROUNDUP(A126/12,0)</f>
        <v/>
      </c>
      <c r="C126" s="38">
        <f>IF(A126&lt;=duree_credit*12,H125,0)</f>
        <v/>
      </c>
      <c r="D126" s="38">
        <f>IF(A126&lt;=duree_credit*12,C126*taux_credit/12,0)</f>
        <v/>
      </c>
      <c r="E126" s="38">
        <f>IF(A126&lt;=duree_credit*12,assurance_mens,0)</f>
        <v/>
      </c>
      <c r="F126" s="38">
        <f>IF(A126&lt;=duree_credit*12,mensualite_ha-D126,0)</f>
        <v/>
      </c>
      <c r="G126" s="38">
        <f>IF(A126&lt;=duree_credit*12,mensualite_ha+E126,0)</f>
        <v/>
      </c>
      <c r="H126" s="38">
        <f>C126-F126</f>
        <v/>
      </c>
    </row>
    <row r="127">
      <c r="A127" s="40" t="n">
        <v>124</v>
      </c>
      <c r="B127" s="40">
        <f>ROUNDUP(A127/12,0)</f>
        <v/>
      </c>
      <c r="C127" s="41">
        <f>IF(A127&lt;=duree_credit*12,H126,0)</f>
        <v/>
      </c>
      <c r="D127" s="41">
        <f>IF(A127&lt;=duree_credit*12,C127*taux_credit/12,0)</f>
        <v/>
      </c>
      <c r="E127" s="41">
        <f>IF(A127&lt;=duree_credit*12,assurance_mens,0)</f>
        <v/>
      </c>
      <c r="F127" s="41">
        <f>IF(A127&lt;=duree_credit*12,mensualite_ha-D127,0)</f>
        <v/>
      </c>
      <c r="G127" s="41">
        <f>IF(A127&lt;=duree_credit*12,mensualite_ha+E127,0)</f>
        <v/>
      </c>
      <c r="H127" s="41">
        <f>C127-F127</f>
        <v/>
      </c>
    </row>
    <row r="128">
      <c r="A128" s="37" t="n">
        <v>125</v>
      </c>
      <c r="B128" s="37">
        <f>ROUNDUP(A128/12,0)</f>
        <v/>
      </c>
      <c r="C128" s="38">
        <f>IF(A128&lt;=duree_credit*12,H127,0)</f>
        <v/>
      </c>
      <c r="D128" s="38">
        <f>IF(A128&lt;=duree_credit*12,C128*taux_credit/12,0)</f>
        <v/>
      </c>
      <c r="E128" s="38">
        <f>IF(A128&lt;=duree_credit*12,assurance_mens,0)</f>
        <v/>
      </c>
      <c r="F128" s="38">
        <f>IF(A128&lt;=duree_credit*12,mensualite_ha-D128,0)</f>
        <v/>
      </c>
      <c r="G128" s="38">
        <f>IF(A128&lt;=duree_credit*12,mensualite_ha+E128,0)</f>
        <v/>
      </c>
      <c r="H128" s="38">
        <f>C128-F128</f>
        <v/>
      </c>
    </row>
    <row r="129">
      <c r="A129" s="40" t="n">
        <v>126</v>
      </c>
      <c r="B129" s="40">
        <f>ROUNDUP(A129/12,0)</f>
        <v/>
      </c>
      <c r="C129" s="41">
        <f>IF(A129&lt;=duree_credit*12,H128,0)</f>
        <v/>
      </c>
      <c r="D129" s="41">
        <f>IF(A129&lt;=duree_credit*12,C129*taux_credit/12,0)</f>
        <v/>
      </c>
      <c r="E129" s="41">
        <f>IF(A129&lt;=duree_credit*12,assurance_mens,0)</f>
        <v/>
      </c>
      <c r="F129" s="41">
        <f>IF(A129&lt;=duree_credit*12,mensualite_ha-D129,0)</f>
        <v/>
      </c>
      <c r="G129" s="41">
        <f>IF(A129&lt;=duree_credit*12,mensualite_ha+E129,0)</f>
        <v/>
      </c>
      <c r="H129" s="41">
        <f>C129-F129</f>
        <v/>
      </c>
    </row>
    <row r="130">
      <c r="A130" s="37" t="n">
        <v>127</v>
      </c>
      <c r="B130" s="37">
        <f>ROUNDUP(A130/12,0)</f>
        <v/>
      </c>
      <c r="C130" s="38">
        <f>IF(A130&lt;=duree_credit*12,H129,0)</f>
        <v/>
      </c>
      <c r="D130" s="38">
        <f>IF(A130&lt;=duree_credit*12,C130*taux_credit/12,0)</f>
        <v/>
      </c>
      <c r="E130" s="38">
        <f>IF(A130&lt;=duree_credit*12,assurance_mens,0)</f>
        <v/>
      </c>
      <c r="F130" s="38">
        <f>IF(A130&lt;=duree_credit*12,mensualite_ha-D130,0)</f>
        <v/>
      </c>
      <c r="G130" s="38">
        <f>IF(A130&lt;=duree_credit*12,mensualite_ha+E130,0)</f>
        <v/>
      </c>
      <c r="H130" s="38">
        <f>C130-F130</f>
        <v/>
      </c>
    </row>
    <row r="131">
      <c r="A131" s="40" t="n">
        <v>128</v>
      </c>
      <c r="B131" s="40">
        <f>ROUNDUP(A131/12,0)</f>
        <v/>
      </c>
      <c r="C131" s="41">
        <f>IF(A131&lt;=duree_credit*12,H130,0)</f>
        <v/>
      </c>
      <c r="D131" s="41">
        <f>IF(A131&lt;=duree_credit*12,C131*taux_credit/12,0)</f>
        <v/>
      </c>
      <c r="E131" s="41">
        <f>IF(A131&lt;=duree_credit*12,assurance_mens,0)</f>
        <v/>
      </c>
      <c r="F131" s="41">
        <f>IF(A131&lt;=duree_credit*12,mensualite_ha-D131,0)</f>
        <v/>
      </c>
      <c r="G131" s="41">
        <f>IF(A131&lt;=duree_credit*12,mensualite_ha+E131,0)</f>
        <v/>
      </c>
      <c r="H131" s="41">
        <f>C131-F131</f>
        <v/>
      </c>
    </row>
    <row r="132">
      <c r="A132" s="37" t="n">
        <v>129</v>
      </c>
      <c r="B132" s="37">
        <f>ROUNDUP(A132/12,0)</f>
        <v/>
      </c>
      <c r="C132" s="38">
        <f>IF(A132&lt;=duree_credit*12,H131,0)</f>
        <v/>
      </c>
      <c r="D132" s="38">
        <f>IF(A132&lt;=duree_credit*12,C132*taux_credit/12,0)</f>
        <v/>
      </c>
      <c r="E132" s="38">
        <f>IF(A132&lt;=duree_credit*12,assurance_mens,0)</f>
        <v/>
      </c>
      <c r="F132" s="38">
        <f>IF(A132&lt;=duree_credit*12,mensualite_ha-D132,0)</f>
        <v/>
      </c>
      <c r="G132" s="38">
        <f>IF(A132&lt;=duree_credit*12,mensualite_ha+E132,0)</f>
        <v/>
      </c>
      <c r="H132" s="38">
        <f>C132-F132</f>
        <v/>
      </c>
    </row>
    <row r="133">
      <c r="A133" s="40" t="n">
        <v>130</v>
      </c>
      <c r="B133" s="40">
        <f>ROUNDUP(A133/12,0)</f>
        <v/>
      </c>
      <c r="C133" s="41">
        <f>IF(A133&lt;=duree_credit*12,H132,0)</f>
        <v/>
      </c>
      <c r="D133" s="41">
        <f>IF(A133&lt;=duree_credit*12,C133*taux_credit/12,0)</f>
        <v/>
      </c>
      <c r="E133" s="41">
        <f>IF(A133&lt;=duree_credit*12,assurance_mens,0)</f>
        <v/>
      </c>
      <c r="F133" s="41">
        <f>IF(A133&lt;=duree_credit*12,mensualite_ha-D133,0)</f>
        <v/>
      </c>
      <c r="G133" s="41">
        <f>IF(A133&lt;=duree_credit*12,mensualite_ha+E133,0)</f>
        <v/>
      </c>
      <c r="H133" s="41">
        <f>C133-F133</f>
        <v/>
      </c>
    </row>
    <row r="134">
      <c r="A134" s="37" t="n">
        <v>131</v>
      </c>
      <c r="B134" s="37">
        <f>ROUNDUP(A134/12,0)</f>
        <v/>
      </c>
      <c r="C134" s="38">
        <f>IF(A134&lt;=duree_credit*12,H133,0)</f>
        <v/>
      </c>
      <c r="D134" s="38">
        <f>IF(A134&lt;=duree_credit*12,C134*taux_credit/12,0)</f>
        <v/>
      </c>
      <c r="E134" s="38">
        <f>IF(A134&lt;=duree_credit*12,assurance_mens,0)</f>
        <v/>
      </c>
      <c r="F134" s="38">
        <f>IF(A134&lt;=duree_credit*12,mensualite_ha-D134,0)</f>
        <v/>
      </c>
      <c r="G134" s="38">
        <f>IF(A134&lt;=duree_credit*12,mensualite_ha+E134,0)</f>
        <v/>
      </c>
      <c r="H134" s="38">
        <f>C134-F134</f>
        <v/>
      </c>
    </row>
    <row r="135">
      <c r="A135" s="40" t="n">
        <v>132</v>
      </c>
      <c r="B135" s="40">
        <f>ROUNDUP(A135/12,0)</f>
        <v/>
      </c>
      <c r="C135" s="41">
        <f>IF(A135&lt;=duree_credit*12,H134,0)</f>
        <v/>
      </c>
      <c r="D135" s="41">
        <f>IF(A135&lt;=duree_credit*12,C135*taux_credit/12,0)</f>
        <v/>
      </c>
      <c r="E135" s="41">
        <f>IF(A135&lt;=duree_credit*12,assurance_mens,0)</f>
        <v/>
      </c>
      <c r="F135" s="41">
        <f>IF(A135&lt;=duree_credit*12,mensualite_ha-D135,0)</f>
        <v/>
      </c>
      <c r="G135" s="41">
        <f>IF(A135&lt;=duree_credit*12,mensualite_ha+E135,0)</f>
        <v/>
      </c>
      <c r="H135" s="41">
        <f>C135-F135</f>
        <v/>
      </c>
    </row>
    <row r="136">
      <c r="A136" s="37" t="n">
        <v>133</v>
      </c>
      <c r="B136" s="37">
        <f>ROUNDUP(A136/12,0)</f>
        <v/>
      </c>
      <c r="C136" s="38">
        <f>IF(A136&lt;=duree_credit*12,H135,0)</f>
        <v/>
      </c>
      <c r="D136" s="38">
        <f>IF(A136&lt;=duree_credit*12,C136*taux_credit/12,0)</f>
        <v/>
      </c>
      <c r="E136" s="38">
        <f>IF(A136&lt;=duree_credit*12,assurance_mens,0)</f>
        <v/>
      </c>
      <c r="F136" s="38">
        <f>IF(A136&lt;=duree_credit*12,mensualite_ha-D136,0)</f>
        <v/>
      </c>
      <c r="G136" s="38">
        <f>IF(A136&lt;=duree_credit*12,mensualite_ha+E136,0)</f>
        <v/>
      </c>
      <c r="H136" s="38">
        <f>C136-F136</f>
        <v/>
      </c>
    </row>
    <row r="137">
      <c r="A137" s="40" t="n">
        <v>134</v>
      </c>
      <c r="B137" s="40">
        <f>ROUNDUP(A137/12,0)</f>
        <v/>
      </c>
      <c r="C137" s="41">
        <f>IF(A137&lt;=duree_credit*12,H136,0)</f>
        <v/>
      </c>
      <c r="D137" s="41">
        <f>IF(A137&lt;=duree_credit*12,C137*taux_credit/12,0)</f>
        <v/>
      </c>
      <c r="E137" s="41">
        <f>IF(A137&lt;=duree_credit*12,assurance_mens,0)</f>
        <v/>
      </c>
      <c r="F137" s="41">
        <f>IF(A137&lt;=duree_credit*12,mensualite_ha-D137,0)</f>
        <v/>
      </c>
      <c r="G137" s="41">
        <f>IF(A137&lt;=duree_credit*12,mensualite_ha+E137,0)</f>
        <v/>
      </c>
      <c r="H137" s="41">
        <f>C137-F137</f>
        <v/>
      </c>
    </row>
    <row r="138">
      <c r="A138" s="37" t="n">
        <v>135</v>
      </c>
      <c r="B138" s="37">
        <f>ROUNDUP(A138/12,0)</f>
        <v/>
      </c>
      <c r="C138" s="38">
        <f>IF(A138&lt;=duree_credit*12,H137,0)</f>
        <v/>
      </c>
      <c r="D138" s="38">
        <f>IF(A138&lt;=duree_credit*12,C138*taux_credit/12,0)</f>
        <v/>
      </c>
      <c r="E138" s="38">
        <f>IF(A138&lt;=duree_credit*12,assurance_mens,0)</f>
        <v/>
      </c>
      <c r="F138" s="38">
        <f>IF(A138&lt;=duree_credit*12,mensualite_ha-D138,0)</f>
        <v/>
      </c>
      <c r="G138" s="38">
        <f>IF(A138&lt;=duree_credit*12,mensualite_ha+E138,0)</f>
        <v/>
      </c>
      <c r="H138" s="38">
        <f>C138-F138</f>
        <v/>
      </c>
    </row>
    <row r="139">
      <c r="A139" s="40" t="n">
        <v>136</v>
      </c>
      <c r="B139" s="40">
        <f>ROUNDUP(A139/12,0)</f>
        <v/>
      </c>
      <c r="C139" s="41">
        <f>IF(A139&lt;=duree_credit*12,H138,0)</f>
        <v/>
      </c>
      <c r="D139" s="41">
        <f>IF(A139&lt;=duree_credit*12,C139*taux_credit/12,0)</f>
        <v/>
      </c>
      <c r="E139" s="41">
        <f>IF(A139&lt;=duree_credit*12,assurance_mens,0)</f>
        <v/>
      </c>
      <c r="F139" s="41">
        <f>IF(A139&lt;=duree_credit*12,mensualite_ha-D139,0)</f>
        <v/>
      </c>
      <c r="G139" s="41">
        <f>IF(A139&lt;=duree_credit*12,mensualite_ha+E139,0)</f>
        <v/>
      </c>
      <c r="H139" s="41">
        <f>C139-F139</f>
        <v/>
      </c>
    </row>
    <row r="140">
      <c r="A140" s="37" t="n">
        <v>137</v>
      </c>
      <c r="B140" s="37">
        <f>ROUNDUP(A140/12,0)</f>
        <v/>
      </c>
      <c r="C140" s="38">
        <f>IF(A140&lt;=duree_credit*12,H139,0)</f>
        <v/>
      </c>
      <c r="D140" s="38">
        <f>IF(A140&lt;=duree_credit*12,C140*taux_credit/12,0)</f>
        <v/>
      </c>
      <c r="E140" s="38">
        <f>IF(A140&lt;=duree_credit*12,assurance_mens,0)</f>
        <v/>
      </c>
      <c r="F140" s="38">
        <f>IF(A140&lt;=duree_credit*12,mensualite_ha-D140,0)</f>
        <v/>
      </c>
      <c r="G140" s="38">
        <f>IF(A140&lt;=duree_credit*12,mensualite_ha+E140,0)</f>
        <v/>
      </c>
      <c r="H140" s="38">
        <f>C140-F140</f>
        <v/>
      </c>
    </row>
    <row r="141">
      <c r="A141" s="40" t="n">
        <v>138</v>
      </c>
      <c r="B141" s="40">
        <f>ROUNDUP(A141/12,0)</f>
        <v/>
      </c>
      <c r="C141" s="41">
        <f>IF(A141&lt;=duree_credit*12,H140,0)</f>
        <v/>
      </c>
      <c r="D141" s="41">
        <f>IF(A141&lt;=duree_credit*12,C141*taux_credit/12,0)</f>
        <v/>
      </c>
      <c r="E141" s="41">
        <f>IF(A141&lt;=duree_credit*12,assurance_mens,0)</f>
        <v/>
      </c>
      <c r="F141" s="41">
        <f>IF(A141&lt;=duree_credit*12,mensualite_ha-D141,0)</f>
        <v/>
      </c>
      <c r="G141" s="41">
        <f>IF(A141&lt;=duree_credit*12,mensualite_ha+E141,0)</f>
        <v/>
      </c>
      <c r="H141" s="41">
        <f>C141-F141</f>
        <v/>
      </c>
    </row>
    <row r="142">
      <c r="A142" s="37" t="n">
        <v>139</v>
      </c>
      <c r="B142" s="37">
        <f>ROUNDUP(A142/12,0)</f>
        <v/>
      </c>
      <c r="C142" s="38">
        <f>IF(A142&lt;=duree_credit*12,H141,0)</f>
        <v/>
      </c>
      <c r="D142" s="38">
        <f>IF(A142&lt;=duree_credit*12,C142*taux_credit/12,0)</f>
        <v/>
      </c>
      <c r="E142" s="38">
        <f>IF(A142&lt;=duree_credit*12,assurance_mens,0)</f>
        <v/>
      </c>
      <c r="F142" s="38">
        <f>IF(A142&lt;=duree_credit*12,mensualite_ha-D142,0)</f>
        <v/>
      </c>
      <c r="G142" s="38">
        <f>IF(A142&lt;=duree_credit*12,mensualite_ha+E142,0)</f>
        <v/>
      </c>
      <c r="H142" s="38">
        <f>C142-F142</f>
        <v/>
      </c>
    </row>
    <row r="143">
      <c r="A143" s="40" t="n">
        <v>140</v>
      </c>
      <c r="B143" s="40">
        <f>ROUNDUP(A143/12,0)</f>
        <v/>
      </c>
      <c r="C143" s="41">
        <f>IF(A143&lt;=duree_credit*12,H142,0)</f>
        <v/>
      </c>
      <c r="D143" s="41">
        <f>IF(A143&lt;=duree_credit*12,C143*taux_credit/12,0)</f>
        <v/>
      </c>
      <c r="E143" s="41">
        <f>IF(A143&lt;=duree_credit*12,assurance_mens,0)</f>
        <v/>
      </c>
      <c r="F143" s="41">
        <f>IF(A143&lt;=duree_credit*12,mensualite_ha-D143,0)</f>
        <v/>
      </c>
      <c r="G143" s="41">
        <f>IF(A143&lt;=duree_credit*12,mensualite_ha+E143,0)</f>
        <v/>
      </c>
      <c r="H143" s="41">
        <f>C143-F143</f>
        <v/>
      </c>
    </row>
    <row r="144">
      <c r="A144" s="37" t="n">
        <v>141</v>
      </c>
      <c r="B144" s="37">
        <f>ROUNDUP(A144/12,0)</f>
        <v/>
      </c>
      <c r="C144" s="38">
        <f>IF(A144&lt;=duree_credit*12,H143,0)</f>
        <v/>
      </c>
      <c r="D144" s="38">
        <f>IF(A144&lt;=duree_credit*12,C144*taux_credit/12,0)</f>
        <v/>
      </c>
      <c r="E144" s="38">
        <f>IF(A144&lt;=duree_credit*12,assurance_mens,0)</f>
        <v/>
      </c>
      <c r="F144" s="38">
        <f>IF(A144&lt;=duree_credit*12,mensualite_ha-D144,0)</f>
        <v/>
      </c>
      <c r="G144" s="38">
        <f>IF(A144&lt;=duree_credit*12,mensualite_ha+E144,0)</f>
        <v/>
      </c>
      <c r="H144" s="38">
        <f>C144-F144</f>
        <v/>
      </c>
    </row>
    <row r="145">
      <c r="A145" s="40" t="n">
        <v>142</v>
      </c>
      <c r="B145" s="40">
        <f>ROUNDUP(A145/12,0)</f>
        <v/>
      </c>
      <c r="C145" s="41">
        <f>IF(A145&lt;=duree_credit*12,H144,0)</f>
        <v/>
      </c>
      <c r="D145" s="41">
        <f>IF(A145&lt;=duree_credit*12,C145*taux_credit/12,0)</f>
        <v/>
      </c>
      <c r="E145" s="41">
        <f>IF(A145&lt;=duree_credit*12,assurance_mens,0)</f>
        <v/>
      </c>
      <c r="F145" s="41">
        <f>IF(A145&lt;=duree_credit*12,mensualite_ha-D145,0)</f>
        <v/>
      </c>
      <c r="G145" s="41">
        <f>IF(A145&lt;=duree_credit*12,mensualite_ha+E145,0)</f>
        <v/>
      </c>
      <c r="H145" s="41">
        <f>C145-F145</f>
        <v/>
      </c>
    </row>
    <row r="146">
      <c r="A146" s="37" t="n">
        <v>143</v>
      </c>
      <c r="B146" s="37">
        <f>ROUNDUP(A146/12,0)</f>
        <v/>
      </c>
      <c r="C146" s="38">
        <f>IF(A146&lt;=duree_credit*12,H145,0)</f>
        <v/>
      </c>
      <c r="D146" s="38">
        <f>IF(A146&lt;=duree_credit*12,C146*taux_credit/12,0)</f>
        <v/>
      </c>
      <c r="E146" s="38">
        <f>IF(A146&lt;=duree_credit*12,assurance_mens,0)</f>
        <v/>
      </c>
      <c r="F146" s="38">
        <f>IF(A146&lt;=duree_credit*12,mensualite_ha-D146,0)</f>
        <v/>
      </c>
      <c r="G146" s="38">
        <f>IF(A146&lt;=duree_credit*12,mensualite_ha+E146,0)</f>
        <v/>
      </c>
      <c r="H146" s="38">
        <f>C146-F146</f>
        <v/>
      </c>
    </row>
    <row r="147">
      <c r="A147" s="40" t="n">
        <v>144</v>
      </c>
      <c r="B147" s="40">
        <f>ROUNDUP(A147/12,0)</f>
        <v/>
      </c>
      <c r="C147" s="41">
        <f>IF(A147&lt;=duree_credit*12,H146,0)</f>
        <v/>
      </c>
      <c r="D147" s="41">
        <f>IF(A147&lt;=duree_credit*12,C147*taux_credit/12,0)</f>
        <v/>
      </c>
      <c r="E147" s="41">
        <f>IF(A147&lt;=duree_credit*12,assurance_mens,0)</f>
        <v/>
      </c>
      <c r="F147" s="41">
        <f>IF(A147&lt;=duree_credit*12,mensualite_ha-D147,0)</f>
        <v/>
      </c>
      <c r="G147" s="41">
        <f>IF(A147&lt;=duree_credit*12,mensualite_ha+E147,0)</f>
        <v/>
      </c>
      <c r="H147" s="41">
        <f>C147-F147</f>
        <v/>
      </c>
    </row>
    <row r="148">
      <c r="A148" s="37" t="n">
        <v>145</v>
      </c>
      <c r="B148" s="37">
        <f>ROUNDUP(A148/12,0)</f>
        <v/>
      </c>
      <c r="C148" s="38">
        <f>IF(A148&lt;=duree_credit*12,H147,0)</f>
        <v/>
      </c>
      <c r="D148" s="38">
        <f>IF(A148&lt;=duree_credit*12,C148*taux_credit/12,0)</f>
        <v/>
      </c>
      <c r="E148" s="38">
        <f>IF(A148&lt;=duree_credit*12,assurance_mens,0)</f>
        <v/>
      </c>
      <c r="F148" s="38">
        <f>IF(A148&lt;=duree_credit*12,mensualite_ha-D148,0)</f>
        <v/>
      </c>
      <c r="G148" s="38">
        <f>IF(A148&lt;=duree_credit*12,mensualite_ha+E148,0)</f>
        <v/>
      </c>
      <c r="H148" s="38">
        <f>C148-F148</f>
        <v/>
      </c>
    </row>
    <row r="149">
      <c r="A149" s="40" t="n">
        <v>146</v>
      </c>
      <c r="B149" s="40">
        <f>ROUNDUP(A149/12,0)</f>
        <v/>
      </c>
      <c r="C149" s="41">
        <f>IF(A149&lt;=duree_credit*12,H148,0)</f>
        <v/>
      </c>
      <c r="D149" s="41">
        <f>IF(A149&lt;=duree_credit*12,C149*taux_credit/12,0)</f>
        <v/>
      </c>
      <c r="E149" s="41">
        <f>IF(A149&lt;=duree_credit*12,assurance_mens,0)</f>
        <v/>
      </c>
      <c r="F149" s="41">
        <f>IF(A149&lt;=duree_credit*12,mensualite_ha-D149,0)</f>
        <v/>
      </c>
      <c r="G149" s="41">
        <f>IF(A149&lt;=duree_credit*12,mensualite_ha+E149,0)</f>
        <v/>
      </c>
      <c r="H149" s="41">
        <f>C149-F149</f>
        <v/>
      </c>
    </row>
    <row r="150">
      <c r="A150" s="37" t="n">
        <v>147</v>
      </c>
      <c r="B150" s="37">
        <f>ROUNDUP(A150/12,0)</f>
        <v/>
      </c>
      <c r="C150" s="38">
        <f>IF(A150&lt;=duree_credit*12,H149,0)</f>
        <v/>
      </c>
      <c r="D150" s="38">
        <f>IF(A150&lt;=duree_credit*12,C150*taux_credit/12,0)</f>
        <v/>
      </c>
      <c r="E150" s="38">
        <f>IF(A150&lt;=duree_credit*12,assurance_mens,0)</f>
        <v/>
      </c>
      <c r="F150" s="38">
        <f>IF(A150&lt;=duree_credit*12,mensualite_ha-D150,0)</f>
        <v/>
      </c>
      <c r="G150" s="38">
        <f>IF(A150&lt;=duree_credit*12,mensualite_ha+E150,0)</f>
        <v/>
      </c>
      <c r="H150" s="38">
        <f>C150-F150</f>
        <v/>
      </c>
    </row>
    <row r="151">
      <c r="A151" s="40" t="n">
        <v>148</v>
      </c>
      <c r="B151" s="40">
        <f>ROUNDUP(A151/12,0)</f>
        <v/>
      </c>
      <c r="C151" s="41">
        <f>IF(A151&lt;=duree_credit*12,H150,0)</f>
        <v/>
      </c>
      <c r="D151" s="41">
        <f>IF(A151&lt;=duree_credit*12,C151*taux_credit/12,0)</f>
        <v/>
      </c>
      <c r="E151" s="41">
        <f>IF(A151&lt;=duree_credit*12,assurance_mens,0)</f>
        <v/>
      </c>
      <c r="F151" s="41">
        <f>IF(A151&lt;=duree_credit*12,mensualite_ha-D151,0)</f>
        <v/>
      </c>
      <c r="G151" s="41">
        <f>IF(A151&lt;=duree_credit*12,mensualite_ha+E151,0)</f>
        <v/>
      </c>
      <c r="H151" s="41">
        <f>C151-F151</f>
        <v/>
      </c>
    </row>
    <row r="152">
      <c r="A152" s="37" t="n">
        <v>149</v>
      </c>
      <c r="B152" s="37">
        <f>ROUNDUP(A152/12,0)</f>
        <v/>
      </c>
      <c r="C152" s="38">
        <f>IF(A152&lt;=duree_credit*12,H151,0)</f>
        <v/>
      </c>
      <c r="D152" s="38">
        <f>IF(A152&lt;=duree_credit*12,C152*taux_credit/12,0)</f>
        <v/>
      </c>
      <c r="E152" s="38">
        <f>IF(A152&lt;=duree_credit*12,assurance_mens,0)</f>
        <v/>
      </c>
      <c r="F152" s="38">
        <f>IF(A152&lt;=duree_credit*12,mensualite_ha-D152,0)</f>
        <v/>
      </c>
      <c r="G152" s="38">
        <f>IF(A152&lt;=duree_credit*12,mensualite_ha+E152,0)</f>
        <v/>
      </c>
      <c r="H152" s="38">
        <f>C152-F152</f>
        <v/>
      </c>
    </row>
    <row r="153">
      <c r="A153" s="40" t="n">
        <v>150</v>
      </c>
      <c r="B153" s="40">
        <f>ROUNDUP(A153/12,0)</f>
        <v/>
      </c>
      <c r="C153" s="41">
        <f>IF(A153&lt;=duree_credit*12,H152,0)</f>
        <v/>
      </c>
      <c r="D153" s="41">
        <f>IF(A153&lt;=duree_credit*12,C153*taux_credit/12,0)</f>
        <v/>
      </c>
      <c r="E153" s="41">
        <f>IF(A153&lt;=duree_credit*12,assurance_mens,0)</f>
        <v/>
      </c>
      <c r="F153" s="41">
        <f>IF(A153&lt;=duree_credit*12,mensualite_ha-D153,0)</f>
        <v/>
      </c>
      <c r="G153" s="41">
        <f>IF(A153&lt;=duree_credit*12,mensualite_ha+E153,0)</f>
        <v/>
      </c>
      <c r="H153" s="41">
        <f>C153-F153</f>
        <v/>
      </c>
    </row>
    <row r="154">
      <c r="A154" s="37" t="n">
        <v>151</v>
      </c>
      <c r="B154" s="37">
        <f>ROUNDUP(A154/12,0)</f>
        <v/>
      </c>
      <c r="C154" s="38">
        <f>IF(A154&lt;=duree_credit*12,H153,0)</f>
        <v/>
      </c>
      <c r="D154" s="38">
        <f>IF(A154&lt;=duree_credit*12,C154*taux_credit/12,0)</f>
        <v/>
      </c>
      <c r="E154" s="38">
        <f>IF(A154&lt;=duree_credit*12,assurance_mens,0)</f>
        <v/>
      </c>
      <c r="F154" s="38">
        <f>IF(A154&lt;=duree_credit*12,mensualite_ha-D154,0)</f>
        <v/>
      </c>
      <c r="G154" s="38">
        <f>IF(A154&lt;=duree_credit*12,mensualite_ha+E154,0)</f>
        <v/>
      </c>
      <c r="H154" s="38">
        <f>C154-F154</f>
        <v/>
      </c>
    </row>
    <row r="155">
      <c r="A155" s="40" t="n">
        <v>152</v>
      </c>
      <c r="B155" s="40">
        <f>ROUNDUP(A155/12,0)</f>
        <v/>
      </c>
      <c r="C155" s="41">
        <f>IF(A155&lt;=duree_credit*12,H154,0)</f>
        <v/>
      </c>
      <c r="D155" s="41">
        <f>IF(A155&lt;=duree_credit*12,C155*taux_credit/12,0)</f>
        <v/>
      </c>
      <c r="E155" s="41">
        <f>IF(A155&lt;=duree_credit*12,assurance_mens,0)</f>
        <v/>
      </c>
      <c r="F155" s="41">
        <f>IF(A155&lt;=duree_credit*12,mensualite_ha-D155,0)</f>
        <v/>
      </c>
      <c r="G155" s="41">
        <f>IF(A155&lt;=duree_credit*12,mensualite_ha+E155,0)</f>
        <v/>
      </c>
      <c r="H155" s="41">
        <f>C155-F155</f>
        <v/>
      </c>
    </row>
    <row r="156">
      <c r="A156" s="37" t="n">
        <v>153</v>
      </c>
      <c r="B156" s="37">
        <f>ROUNDUP(A156/12,0)</f>
        <v/>
      </c>
      <c r="C156" s="38">
        <f>IF(A156&lt;=duree_credit*12,H155,0)</f>
        <v/>
      </c>
      <c r="D156" s="38">
        <f>IF(A156&lt;=duree_credit*12,C156*taux_credit/12,0)</f>
        <v/>
      </c>
      <c r="E156" s="38">
        <f>IF(A156&lt;=duree_credit*12,assurance_mens,0)</f>
        <v/>
      </c>
      <c r="F156" s="38">
        <f>IF(A156&lt;=duree_credit*12,mensualite_ha-D156,0)</f>
        <v/>
      </c>
      <c r="G156" s="38">
        <f>IF(A156&lt;=duree_credit*12,mensualite_ha+E156,0)</f>
        <v/>
      </c>
      <c r="H156" s="38">
        <f>C156-F156</f>
        <v/>
      </c>
    </row>
    <row r="157">
      <c r="A157" s="40" t="n">
        <v>154</v>
      </c>
      <c r="B157" s="40">
        <f>ROUNDUP(A157/12,0)</f>
        <v/>
      </c>
      <c r="C157" s="41">
        <f>IF(A157&lt;=duree_credit*12,H156,0)</f>
        <v/>
      </c>
      <c r="D157" s="41">
        <f>IF(A157&lt;=duree_credit*12,C157*taux_credit/12,0)</f>
        <v/>
      </c>
      <c r="E157" s="41">
        <f>IF(A157&lt;=duree_credit*12,assurance_mens,0)</f>
        <v/>
      </c>
      <c r="F157" s="41">
        <f>IF(A157&lt;=duree_credit*12,mensualite_ha-D157,0)</f>
        <v/>
      </c>
      <c r="G157" s="41">
        <f>IF(A157&lt;=duree_credit*12,mensualite_ha+E157,0)</f>
        <v/>
      </c>
      <c r="H157" s="41">
        <f>C157-F157</f>
        <v/>
      </c>
    </row>
    <row r="158">
      <c r="A158" s="37" t="n">
        <v>155</v>
      </c>
      <c r="B158" s="37">
        <f>ROUNDUP(A158/12,0)</f>
        <v/>
      </c>
      <c r="C158" s="38">
        <f>IF(A158&lt;=duree_credit*12,H157,0)</f>
        <v/>
      </c>
      <c r="D158" s="38">
        <f>IF(A158&lt;=duree_credit*12,C158*taux_credit/12,0)</f>
        <v/>
      </c>
      <c r="E158" s="38">
        <f>IF(A158&lt;=duree_credit*12,assurance_mens,0)</f>
        <v/>
      </c>
      <c r="F158" s="38">
        <f>IF(A158&lt;=duree_credit*12,mensualite_ha-D158,0)</f>
        <v/>
      </c>
      <c r="G158" s="38">
        <f>IF(A158&lt;=duree_credit*12,mensualite_ha+E158,0)</f>
        <v/>
      </c>
      <c r="H158" s="38">
        <f>C158-F158</f>
        <v/>
      </c>
    </row>
    <row r="159">
      <c r="A159" s="40" t="n">
        <v>156</v>
      </c>
      <c r="B159" s="40">
        <f>ROUNDUP(A159/12,0)</f>
        <v/>
      </c>
      <c r="C159" s="41">
        <f>IF(A159&lt;=duree_credit*12,H158,0)</f>
        <v/>
      </c>
      <c r="D159" s="41">
        <f>IF(A159&lt;=duree_credit*12,C159*taux_credit/12,0)</f>
        <v/>
      </c>
      <c r="E159" s="41">
        <f>IF(A159&lt;=duree_credit*12,assurance_mens,0)</f>
        <v/>
      </c>
      <c r="F159" s="41">
        <f>IF(A159&lt;=duree_credit*12,mensualite_ha-D159,0)</f>
        <v/>
      </c>
      <c r="G159" s="41">
        <f>IF(A159&lt;=duree_credit*12,mensualite_ha+E159,0)</f>
        <v/>
      </c>
      <c r="H159" s="41">
        <f>C159-F159</f>
        <v/>
      </c>
    </row>
    <row r="160">
      <c r="A160" s="37" t="n">
        <v>157</v>
      </c>
      <c r="B160" s="37">
        <f>ROUNDUP(A160/12,0)</f>
        <v/>
      </c>
      <c r="C160" s="38">
        <f>IF(A160&lt;=duree_credit*12,H159,0)</f>
        <v/>
      </c>
      <c r="D160" s="38">
        <f>IF(A160&lt;=duree_credit*12,C160*taux_credit/12,0)</f>
        <v/>
      </c>
      <c r="E160" s="38">
        <f>IF(A160&lt;=duree_credit*12,assurance_mens,0)</f>
        <v/>
      </c>
      <c r="F160" s="38">
        <f>IF(A160&lt;=duree_credit*12,mensualite_ha-D160,0)</f>
        <v/>
      </c>
      <c r="G160" s="38">
        <f>IF(A160&lt;=duree_credit*12,mensualite_ha+E160,0)</f>
        <v/>
      </c>
      <c r="H160" s="38">
        <f>C160-F160</f>
        <v/>
      </c>
    </row>
    <row r="161">
      <c r="A161" s="40" t="n">
        <v>158</v>
      </c>
      <c r="B161" s="40">
        <f>ROUNDUP(A161/12,0)</f>
        <v/>
      </c>
      <c r="C161" s="41">
        <f>IF(A161&lt;=duree_credit*12,H160,0)</f>
        <v/>
      </c>
      <c r="D161" s="41">
        <f>IF(A161&lt;=duree_credit*12,C161*taux_credit/12,0)</f>
        <v/>
      </c>
      <c r="E161" s="41">
        <f>IF(A161&lt;=duree_credit*12,assurance_mens,0)</f>
        <v/>
      </c>
      <c r="F161" s="41">
        <f>IF(A161&lt;=duree_credit*12,mensualite_ha-D161,0)</f>
        <v/>
      </c>
      <c r="G161" s="41">
        <f>IF(A161&lt;=duree_credit*12,mensualite_ha+E161,0)</f>
        <v/>
      </c>
      <c r="H161" s="41">
        <f>C161-F161</f>
        <v/>
      </c>
    </row>
    <row r="162">
      <c r="A162" s="37" t="n">
        <v>159</v>
      </c>
      <c r="B162" s="37">
        <f>ROUNDUP(A162/12,0)</f>
        <v/>
      </c>
      <c r="C162" s="38">
        <f>IF(A162&lt;=duree_credit*12,H161,0)</f>
        <v/>
      </c>
      <c r="D162" s="38">
        <f>IF(A162&lt;=duree_credit*12,C162*taux_credit/12,0)</f>
        <v/>
      </c>
      <c r="E162" s="38">
        <f>IF(A162&lt;=duree_credit*12,assurance_mens,0)</f>
        <v/>
      </c>
      <c r="F162" s="38">
        <f>IF(A162&lt;=duree_credit*12,mensualite_ha-D162,0)</f>
        <v/>
      </c>
      <c r="G162" s="38">
        <f>IF(A162&lt;=duree_credit*12,mensualite_ha+E162,0)</f>
        <v/>
      </c>
      <c r="H162" s="38">
        <f>C162-F162</f>
        <v/>
      </c>
    </row>
    <row r="163">
      <c r="A163" s="40" t="n">
        <v>160</v>
      </c>
      <c r="B163" s="40">
        <f>ROUNDUP(A163/12,0)</f>
        <v/>
      </c>
      <c r="C163" s="41">
        <f>IF(A163&lt;=duree_credit*12,H162,0)</f>
        <v/>
      </c>
      <c r="D163" s="41">
        <f>IF(A163&lt;=duree_credit*12,C163*taux_credit/12,0)</f>
        <v/>
      </c>
      <c r="E163" s="41">
        <f>IF(A163&lt;=duree_credit*12,assurance_mens,0)</f>
        <v/>
      </c>
      <c r="F163" s="41">
        <f>IF(A163&lt;=duree_credit*12,mensualite_ha-D163,0)</f>
        <v/>
      </c>
      <c r="G163" s="41">
        <f>IF(A163&lt;=duree_credit*12,mensualite_ha+E163,0)</f>
        <v/>
      </c>
      <c r="H163" s="41">
        <f>C163-F163</f>
        <v/>
      </c>
    </row>
    <row r="164">
      <c r="A164" s="37" t="n">
        <v>161</v>
      </c>
      <c r="B164" s="37">
        <f>ROUNDUP(A164/12,0)</f>
        <v/>
      </c>
      <c r="C164" s="38">
        <f>IF(A164&lt;=duree_credit*12,H163,0)</f>
        <v/>
      </c>
      <c r="D164" s="38">
        <f>IF(A164&lt;=duree_credit*12,C164*taux_credit/12,0)</f>
        <v/>
      </c>
      <c r="E164" s="38">
        <f>IF(A164&lt;=duree_credit*12,assurance_mens,0)</f>
        <v/>
      </c>
      <c r="F164" s="38">
        <f>IF(A164&lt;=duree_credit*12,mensualite_ha-D164,0)</f>
        <v/>
      </c>
      <c r="G164" s="38">
        <f>IF(A164&lt;=duree_credit*12,mensualite_ha+E164,0)</f>
        <v/>
      </c>
      <c r="H164" s="38">
        <f>C164-F164</f>
        <v/>
      </c>
    </row>
    <row r="165">
      <c r="A165" s="40" t="n">
        <v>162</v>
      </c>
      <c r="B165" s="40">
        <f>ROUNDUP(A165/12,0)</f>
        <v/>
      </c>
      <c r="C165" s="41">
        <f>IF(A165&lt;=duree_credit*12,H164,0)</f>
        <v/>
      </c>
      <c r="D165" s="41">
        <f>IF(A165&lt;=duree_credit*12,C165*taux_credit/12,0)</f>
        <v/>
      </c>
      <c r="E165" s="41">
        <f>IF(A165&lt;=duree_credit*12,assurance_mens,0)</f>
        <v/>
      </c>
      <c r="F165" s="41">
        <f>IF(A165&lt;=duree_credit*12,mensualite_ha-D165,0)</f>
        <v/>
      </c>
      <c r="G165" s="41">
        <f>IF(A165&lt;=duree_credit*12,mensualite_ha+E165,0)</f>
        <v/>
      </c>
      <c r="H165" s="41">
        <f>C165-F165</f>
        <v/>
      </c>
    </row>
    <row r="166">
      <c r="A166" s="37" t="n">
        <v>163</v>
      </c>
      <c r="B166" s="37">
        <f>ROUNDUP(A166/12,0)</f>
        <v/>
      </c>
      <c r="C166" s="38">
        <f>IF(A166&lt;=duree_credit*12,H165,0)</f>
        <v/>
      </c>
      <c r="D166" s="38">
        <f>IF(A166&lt;=duree_credit*12,C166*taux_credit/12,0)</f>
        <v/>
      </c>
      <c r="E166" s="38">
        <f>IF(A166&lt;=duree_credit*12,assurance_mens,0)</f>
        <v/>
      </c>
      <c r="F166" s="38">
        <f>IF(A166&lt;=duree_credit*12,mensualite_ha-D166,0)</f>
        <v/>
      </c>
      <c r="G166" s="38">
        <f>IF(A166&lt;=duree_credit*12,mensualite_ha+E166,0)</f>
        <v/>
      </c>
      <c r="H166" s="38">
        <f>C166-F166</f>
        <v/>
      </c>
    </row>
    <row r="167">
      <c r="A167" s="40" t="n">
        <v>164</v>
      </c>
      <c r="B167" s="40">
        <f>ROUNDUP(A167/12,0)</f>
        <v/>
      </c>
      <c r="C167" s="41">
        <f>IF(A167&lt;=duree_credit*12,H166,0)</f>
        <v/>
      </c>
      <c r="D167" s="41">
        <f>IF(A167&lt;=duree_credit*12,C167*taux_credit/12,0)</f>
        <v/>
      </c>
      <c r="E167" s="41">
        <f>IF(A167&lt;=duree_credit*12,assurance_mens,0)</f>
        <v/>
      </c>
      <c r="F167" s="41">
        <f>IF(A167&lt;=duree_credit*12,mensualite_ha-D167,0)</f>
        <v/>
      </c>
      <c r="G167" s="41">
        <f>IF(A167&lt;=duree_credit*12,mensualite_ha+E167,0)</f>
        <v/>
      </c>
      <c r="H167" s="41">
        <f>C167-F167</f>
        <v/>
      </c>
    </row>
    <row r="168">
      <c r="A168" s="37" t="n">
        <v>165</v>
      </c>
      <c r="B168" s="37">
        <f>ROUNDUP(A168/12,0)</f>
        <v/>
      </c>
      <c r="C168" s="38">
        <f>IF(A168&lt;=duree_credit*12,H167,0)</f>
        <v/>
      </c>
      <c r="D168" s="38">
        <f>IF(A168&lt;=duree_credit*12,C168*taux_credit/12,0)</f>
        <v/>
      </c>
      <c r="E168" s="38">
        <f>IF(A168&lt;=duree_credit*12,assurance_mens,0)</f>
        <v/>
      </c>
      <c r="F168" s="38">
        <f>IF(A168&lt;=duree_credit*12,mensualite_ha-D168,0)</f>
        <v/>
      </c>
      <c r="G168" s="38">
        <f>IF(A168&lt;=duree_credit*12,mensualite_ha+E168,0)</f>
        <v/>
      </c>
      <c r="H168" s="38">
        <f>C168-F168</f>
        <v/>
      </c>
    </row>
    <row r="169">
      <c r="A169" s="40" t="n">
        <v>166</v>
      </c>
      <c r="B169" s="40">
        <f>ROUNDUP(A169/12,0)</f>
        <v/>
      </c>
      <c r="C169" s="41">
        <f>IF(A169&lt;=duree_credit*12,H168,0)</f>
        <v/>
      </c>
      <c r="D169" s="41">
        <f>IF(A169&lt;=duree_credit*12,C169*taux_credit/12,0)</f>
        <v/>
      </c>
      <c r="E169" s="41">
        <f>IF(A169&lt;=duree_credit*12,assurance_mens,0)</f>
        <v/>
      </c>
      <c r="F169" s="41">
        <f>IF(A169&lt;=duree_credit*12,mensualite_ha-D169,0)</f>
        <v/>
      </c>
      <c r="G169" s="41">
        <f>IF(A169&lt;=duree_credit*12,mensualite_ha+E169,0)</f>
        <v/>
      </c>
      <c r="H169" s="41">
        <f>C169-F169</f>
        <v/>
      </c>
    </row>
    <row r="170">
      <c r="A170" s="37" t="n">
        <v>167</v>
      </c>
      <c r="B170" s="37">
        <f>ROUNDUP(A170/12,0)</f>
        <v/>
      </c>
      <c r="C170" s="38">
        <f>IF(A170&lt;=duree_credit*12,H169,0)</f>
        <v/>
      </c>
      <c r="D170" s="38">
        <f>IF(A170&lt;=duree_credit*12,C170*taux_credit/12,0)</f>
        <v/>
      </c>
      <c r="E170" s="38">
        <f>IF(A170&lt;=duree_credit*12,assurance_mens,0)</f>
        <v/>
      </c>
      <c r="F170" s="38">
        <f>IF(A170&lt;=duree_credit*12,mensualite_ha-D170,0)</f>
        <v/>
      </c>
      <c r="G170" s="38">
        <f>IF(A170&lt;=duree_credit*12,mensualite_ha+E170,0)</f>
        <v/>
      </c>
      <c r="H170" s="38">
        <f>C170-F170</f>
        <v/>
      </c>
    </row>
    <row r="171">
      <c r="A171" s="40" t="n">
        <v>168</v>
      </c>
      <c r="B171" s="40">
        <f>ROUNDUP(A171/12,0)</f>
        <v/>
      </c>
      <c r="C171" s="41">
        <f>IF(A171&lt;=duree_credit*12,H170,0)</f>
        <v/>
      </c>
      <c r="D171" s="41">
        <f>IF(A171&lt;=duree_credit*12,C171*taux_credit/12,0)</f>
        <v/>
      </c>
      <c r="E171" s="41">
        <f>IF(A171&lt;=duree_credit*12,assurance_mens,0)</f>
        <v/>
      </c>
      <c r="F171" s="41">
        <f>IF(A171&lt;=duree_credit*12,mensualite_ha-D171,0)</f>
        <v/>
      </c>
      <c r="G171" s="41">
        <f>IF(A171&lt;=duree_credit*12,mensualite_ha+E171,0)</f>
        <v/>
      </c>
      <c r="H171" s="41">
        <f>C171-F171</f>
        <v/>
      </c>
    </row>
    <row r="172">
      <c r="A172" s="37" t="n">
        <v>169</v>
      </c>
      <c r="B172" s="37">
        <f>ROUNDUP(A172/12,0)</f>
        <v/>
      </c>
      <c r="C172" s="38">
        <f>IF(A172&lt;=duree_credit*12,H171,0)</f>
        <v/>
      </c>
      <c r="D172" s="38">
        <f>IF(A172&lt;=duree_credit*12,C172*taux_credit/12,0)</f>
        <v/>
      </c>
      <c r="E172" s="38">
        <f>IF(A172&lt;=duree_credit*12,assurance_mens,0)</f>
        <v/>
      </c>
      <c r="F172" s="38">
        <f>IF(A172&lt;=duree_credit*12,mensualite_ha-D172,0)</f>
        <v/>
      </c>
      <c r="G172" s="38">
        <f>IF(A172&lt;=duree_credit*12,mensualite_ha+E172,0)</f>
        <v/>
      </c>
      <c r="H172" s="38">
        <f>C172-F172</f>
        <v/>
      </c>
    </row>
    <row r="173">
      <c r="A173" s="40" t="n">
        <v>170</v>
      </c>
      <c r="B173" s="40">
        <f>ROUNDUP(A173/12,0)</f>
        <v/>
      </c>
      <c r="C173" s="41">
        <f>IF(A173&lt;=duree_credit*12,H172,0)</f>
        <v/>
      </c>
      <c r="D173" s="41">
        <f>IF(A173&lt;=duree_credit*12,C173*taux_credit/12,0)</f>
        <v/>
      </c>
      <c r="E173" s="41">
        <f>IF(A173&lt;=duree_credit*12,assurance_mens,0)</f>
        <v/>
      </c>
      <c r="F173" s="41">
        <f>IF(A173&lt;=duree_credit*12,mensualite_ha-D173,0)</f>
        <v/>
      </c>
      <c r="G173" s="41">
        <f>IF(A173&lt;=duree_credit*12,mensualite_ha+E173,0)</f>
        <v/>
      </c>
      <c r="H173" s="41">
        <f>C173-F173</f>
        <v/>
      </c>
    </row>
    <row r="174">
      <c r="A174" s="37" t="n">
        <v>171</v>
      </c>
      <c r="B174" s="37">
        <f>ROUNDUP(A174/12,0)</f>
        <v/>
      </c>
      <c r="C174" s="38">
        <f>IF(A174&lt;=duree_credit*12,H173,0)</f>
        <v/>
      </c>
      <c r="D174" s="38">
        <f>IF(A174&lt;=duree_credit*12,C174*taux_credit/12,0)</f>
        <v/>
      </c>
      <c r="E174" s="38">
        <f>IF(A174&lt;=duree_credit*12,assurance_mens,0)</f>
        <v/>
      </c>
      <c r="F174" s="38">
        <f>IF(A174&lt;=duree_credit*12,mensualite_ha-D174,0)</f>
        <v/>
      </c>
      <c r="G174" s="38">
        <f>IF(A174&lt;=duree_credit*12,mensualite_ha+E174,0)</f>
        <v/>
      </c>
      <c r="H174" s="38">
        <f>C174-F174</f>
        <v/>
      </c>
    </row>
    <row r="175">
      <c r="A175" s="40" t="n">
        <v>172</v>
      </c>
      <c r="B175" s="40">
        <f>ROUNDUP(A175/12,0)</f>
        <v/>
      </c>
      <c r="C175" s="41">
        <f>IF(A175&lt;=duree_credit*12,H174,0)</f>
        <v/>
      </c>
      <c r="D175" s="41">
        <f>IF(A175&lt;=duree_credit*12,C175*taux_credit/12,0)</f>
        <v/>
      </c>
      <c r="E175" s="41">
        <f>IF(A175&lt;=duree_credit*12,assurance_mens,0)</f>
        <v/>
      </c>
      <c r="F175" s="41">
        <f>IF(A175&lt;=duree_credit*12,mensualite_ha-D175,0)</f>
        <v/>
      </c>
      <c r="G175" s="41">
        <f>IF(A175&lt;=duree_credit*12,mensualite_ha+E175,0)</f>
        <v/>
      </c>
      <c r="H175" s="41">
        <f>C175-F175</f>
        <v/>
      </c>
    </row>
    <row r="176">
      <c r="A176" s="37" t="n">
        <v>173</v>
      </c>
      <c r="B176" s="37">
        <f>ROUNDUP(A176/12,0)</f>
        <v/>
      </c>
      <c r="C176" s="38">
        <f>IF(A176&lt;=duree_credit*12,H175,0)</f>
        <v/>
      </c>
      <c r="D176" s="38">
        <f>IF(A176&lt;=duree_credit*12,C176*taux_credit/12,0)</f>
        <v/>
      </c>
      <c r="E176" s="38">
        <f>IF(A176&lt;=duree_credit*12,assurance_mens,0)</f>
        <v/>
      </c>
      <c r="F176" s="38">
        <f>IF(A176&lt;=duree_credit*12,mensualite_ha-D176,0)</f>
        <v/>
      </c>
      <c r="G176" s="38">
        <f>IF(A176&lt;=duree_credit*12,mensualite_ha+E176,0)</f>
        <v/>
      </c>
      <c r="H176" s="38">
        <f>C176-F176</f>
        <v/>
      </c>
    </row>
    <row r="177">
      <c r="A177" s="40" t="n">
        <v>174</v>
      </c>
      <c r="B177" s="40">
        <f>ROUNDUP(A177/12,0)</f>
        <v/>
      </c>
      <c r="C177" s="41">
        <f>IF(A177&lt;=duree_credit*12,H176,0)</f>
        <v/>
      </c>
      <c r="D177" s="41">
        <f>IF(A177&lt;=duree_credit*12,C177*taux_credit/12,0)</f>
        <v/>
      </c>
      <c r="E177" s="41">
        <f>IF(A177&lt;=duree_credit*12,assurance_mens,0)</f>
        <v/>
      </c>
      <c r="F177" s="41">
        <f>IF(A177&lt;=duree_credit*12,mensualite_ha-D177,0)</f>
        <v/>
      </c>
      <c r="G177" s="41">
        <f>IF(A177&lt;=duree_credit*12,mensualite_ha+E177,0)</f>
        <v/>
      </c>
      <c r="H177" s="41">
        <f>C177-F177</f>
        <v/>
      </c>
    </row>
    <row r="178">
      <c r="A178" s="37" t="n">
        <v>175</v>
      </c>
      <c r="B178" s="37">
        <f>ROUNDUP(A178/12,0)</f>
        <v/>
      </c>
      <c r="C178" s="38">
        <f>IF(A178&lt;=duree_credit*12,H177,0)</f>
        <v/>
      </c>
      <c r="D178" s="38">
        <f>IF(A178&lt;=duree_credit*12,C178*taux_credit/12,0)</f>
        <v/>
      </c>
      <c r="E178" s="38">
        <f>IF(A178&lt;=duree_credit*12,assurance_mens,0)</f>
        <v/>
      </c>
      <c r="F178" s="38">
        <f>IF(A178&lt;=duree_credit*12,mensualite_ha-D178,0)</f>
        <v/>
      </c>
      <c r="G178" s="38">
        <f>IF(A178&lt;=duree_credit*12,mensualite_ha+E178,0)</f>
        <v/>
      </c>
      <c r="H178" s="38">
        <f>C178-F178</f>
        <v/>
      </c>
    </row>
    <row r="179">
      <c r="A179" s="40" t="n">
        <v>176</v>
      </c>
      <c r="B179" s="40">
        <f>ROUNDUP(A179/12,0)</f>
        <v/>
      </c>
      <c r="C179" s="41">
        <f>IF(A179&lt;=duree_credit*12,H178,0)</f>
        <v/>
      </c>
      <c r="D179" s="41">
        <f>IF(A179&lt;=duree_credit*12,C179*taux_credit/12,0)</f>
        <v/>
      </c>
      <c r="E179" s="41">
        <f>IF(A179&lt;=duree_credit*12,assurance_mens,0)</f>
        <v/>
      </c>
      <c r="F179" s="41">
        <f>IF(A179&lt;=duree_credit*12,mensualite_ha-D179,0)</f>
        <v/>
      </c>
      <c r="G179" s="41">
        <f>IF(A179&lt;=duree_credit*12,mensualite_ha+E179,0)</f>
        <v/>
      </c>
      <c r="H179" s="41">
        <f>C179-F179</f>
        <v/>
      </c>
    </row>
    <row r="180">
      <c r="A180" s="37" t="n">
        <v>177</v>
      </c>
      <c r="B180" s="37">
        <f>ROUNDUP(A180/12,0)</f>
        <v/>
      </c>
      <c r="C180" s="38">
        <f>IF(A180&lt;=duree_credit*12,H179,0)</f>
        <v/>
      </c>
      <c r="D180" s="38">
        <f>IF(A180&lt;=duree_credit*12,C180*taux_credit/12,0)</f>
        <v/>
      </c>
      <c r="E180" s="38">
        <f>IF(A180&lt;=duree_credit*12,assurance_mens,0)</f>
        <v/>
      </c>
      <c r="F180" s="38">
        <f>IF(A180&lt;=duree_credit*12,mensualite_ha-D180,0)</f>
        <v/>
      </c>
      <c r="G180" s="38">
        <f>IF(A180&lt;=duree_credit*12,mensualite_ha+E180,0)</f>
        <v/>
      </c>
      <c r="H180" s="38">
        <f>C180-F180</f>
        <v/>
      </c>
    </row>
    <row r="181">
      <c r="A181" s="40" t="n">
        <v>178</v>
      </c>
      <c r="B181" s="40">
        <f>ROUNDUP(A181/12,0)</f>
        <v/>
      </c>
      <c r="C181" s="41">
        <f>IF(A181&lt;=duree_credit*12,H180,0)</f>
        <v/>
      </c>
      <c r="D181" s="41">
        <f>IF(A181&lt;=duree_credit*12,C181*taux_credit/12,0)</f>
        <v/>
      </c>
      <c r="E181" s="41">
        <f>IF(A181&lt;=duree_credit*12,assurance_mens,0)</f>
        <v/>
      </c>
      <c r="F181" s="41">
        <f>IF(A181&lt;=duree_credit*12,mensualite_ha-D181,0)</f>
        <v/>
      </c>
      <c r="G181" s="41">
        <f>IF(A181&lt;=duree_credit*12,mensualite_ha+E181,0)</f>
        <v/>
      </c>
      <c r="H181" s="41">
        <f>C181-F181</f>
        <v/>
      </c>
    </row>
    <row r="182">
      <c r="A182" s="37" t="n">
        <v>179</v>
      </c>
      <c r="B182" s="37">
        <f>ROUNDUP(A182/12,0)</f>
        <v/>
      </c>
      <c r="C182" s="38">
        <f>IF(A182&lt;=duree_credit*12,H181,0)</f>
        <v/>
      </c>
      <c r="D182" s="38">
        <f>IF(A182&lt;=duree_credit*12,C182*taux_credit/12,0)</f>
        <v/>
      </c>
      <c r="E182" s="38">
        <f>IF(A182&lt;=duree_credit*12,assurance_mens,0)</f>
        <v/>
      </c>
      <c r="F182" s="38">
        <f>IF(A182&lt;=duree_credit*12,mensualite_ha-D182,0)</f>
        <v/>
      </c>
      <c r="G182" s="38">
        <f>IF(A182&lt;=duree_credit*12,mensualite_ha+E182,0)</f>
        <v/>
      </c>
      <c r="H182" s="38">
        <f>C182-F182</f>
        <v/>
      </c>
    </row>
    <row r="183">
      <c r="A183" s="40" t="n">
        <v>180</v>
      </c>
      <c r="B183" s="40">
        <f>ROUNDUP(A183/12,0)</f>
        <v/>
      </c>
      <c r="C183" s="41">
        <f>IF(A183&lt;=duree_credit*12,H182,0)</f>
        <v/>
      </c>
      <c r="D183" s="41">
        <f>IF(A183&lt;=duree_credit*12,C183*taux_credit/12,0)</f>
        <v/>
      </c>
      <c r="E183" s="41">
        <f>IF(A183&lt;=duree_credit*12,assurance_mens,0)</f>
        <v/>
      </c>
      <c r="F183" s="41">
        <f>IF(A183&lt;=duree_credit*12,mensualite_ha-D183,0)</f>
        <v/>
      </c>
      <c r="G183" s="41">
        <f>IF(A183&lt;=duree_credit*12,mensualite_ha+E183,0)</f>
        <v/>
      </c>
      <c r="H183" s="41">
        <f>C183-F183</f>
        <v/>
      </c>
    </row>
    <row r="184">
      <c r="A184" s="37" t="n">
        <v>181</v>
      </c>
      <c r="B184" s="37">
        <f>ROUNDUP(A184/12,0)</f>
        <v/>
      </c>
      <c r="C184" s="38">
        <f>IF(A184&lt;=duree_credit*12,H183,0)</f>
        <v/>
      </c>
      <c r="D184" s="38">
        <f>IF(A184&lt;=duree_credit*12,C184*taux_credit/12,0)</f>
        <v/>
      </c>
      <c r="E184" s="38">
        <f>IF(A184&lt;=duree_credit*12,assurance_mens,0)</f>
        <v/>
      </c>
      <c r="F184" s="38">
        <f>IF(A184&lt;=duree_credit*12,mensualite_ha-D184,0)</f>
        <v/>
      </c>
      <c r="G184" s="38">
        <f>IF(A184&lt;=duree_credit*12,mensualite_ha+E184,0)</f>
        <v/>
      </c>
      <c r="H184" s="38">
        <f>C184-F184</f>
        <v/>
      </c>
    </row>
    <row r="185">
      <c r="A185" s="40" t="n">
        <v>182</v>
      </c>
      <c r="B185" s="40">
        <f>ROUNDUP(A185/12,0)</f>
        <v/>
      </c>
      <c r="C185" s="41">
        <f>IF(A185&lt;=duree_credit*12,H184,0)</f>
        <v/>
      </c>
      <c r="D185" s="41">
        <f>IF(A185&lt;=duree_credit*12,C185*taux_credit/12,0)</f>
        <v/>
      </c>
      <c r="E185" s="41">
        <f>IF(A185&lt;=duree_credit*12,assurance_mens,0)</f>
        <v/>
      </c>
      <c r="F185" s="41">
        <f>IF(A185&lt;=duree_credit*12,mensualite_ha-D185,0)</f>
        <v/>
      </c>
      <c r="G185" s="41">
        <f>IF(A185&lt;=duree_credit*12,mensualite_ha+E185,0)</f>
        <v/>
      </c>
      <c r="H185" s="41">
        <f>C185-F185</f>
        <v/>
      </c>
    </row>
    <row r="186">
      <c r="A186" s="37" t="n">
        <v>183</v>
      </c>
      <c r="B186" s="37">
        <f>ROUNDUP(A186/12,0)</f>
        <v/>
      </c>
      <c r="C186" s="38">
        <f>IF(A186&lt;=duree_credit*12,H185,0)</f>
        <v/>
      </c>
      <c r="D186" s="38">
        <f>IF(A186&lt;=duree_credit*12,C186*taux_credit/12,0)</f>
        <v/>
      </c>
      <c r="E186" s="38">
        <f>IF(A186&lt;=duree_credit*12,assurance_mens,0)</f>
        <v/>
      </c>
      <c r="F186" s="38">
        <f>IF(A186&lt;=duree_credit*12,mensualite_ha-D186,0)</f>
        <v/>
      </c>
      <c r="G186" s="38">
        <f>IF(A186&lt;=duree_credit*12,mensualite_ha+E186,0)</f>
        <v/>
      </c>
      <c r="H186" s="38">
        <f>C186-F186</f>
        <v/>
      </c>
    </row>
    <row r="187">
      <c r="A187" s="40" t="n">
        <v>184</v>
      </c>
      <c r="B187" s="40">
        <f>ROUNDUP(A187/12,0)</f>
        <v/>
      </c>
      <c r="C187" s="41">
        <f>IF(A187&lt;=duree_credit*12,H186,0)</f>
        <v/>
      </c>
      <c r="D187" s="41">
        <f>IF(A187&lt;=duree_credit*12,C187*taux_credit/12,0)</f>
        <v/>
      </c>
      <c r="E187" s="41">
        <f>IF(A187&lt;=duree_credit*12,assurance_mens,0)</f>
        <v/>
      </c>
      <c r="F187" s="41">
        <f>IF(A187&lt;=duree_credit*12,mensualite_ha-D187,0)</f>
        <v/>
      </c>
      <c r="G187" s="41">
        <f>IF(A187&lt;=duree_credit*12,mensualite_ha+E187,0)</f>
        <v/>
      </c>
      <c r="H187" s="41">
        <f>C187-F187</f>
        <v/>
      </c>
    </row>
    <row r="188">
      <c r="A188" s="37" t="n">
        <v>185</v>
      </c>
      <c r="B188" s="37">
        <f>ROUNDUP(A188/12,0)</f>
        <v/>
      </c>
      <c r="C188" s="38">
        <f>IF(A188&lt;=duree_credit*12,H187,0)</f>
        <v/>
      </c>
      <c r="D188" s="38">
        <f>IF(A188&lt;=duree_credit*12,C188*taux_credit/12,0)</f>
        <v/>
      </c>
      <c r="E188" s="38">
        <f>IF(A188&lt;=duree_credit*12,assurance_mens,0)</f>
        <v/>
      </c>
      <c r="F188" s="38">
        <f>IF(A188&lt;=duree_credit*12,mensualite_ha-D188,0)</f>
        <v/>
      </c>
      <c r="G188" s="38">
        <f>IF(A188&lt;=duree_credit*12,mensualite_ha+E188,0)</f>
        <v/>
      </c>
      <c r="H188" s="38">
        <f>C188-F188</f>
        <v/>
      </c>
    </row>
    <row r="189">
      <c r="A189" s="40" t="n">
        <v>186</v>
      </c>
      <c r="B189" s="40">
        <f>ROUNDUP(A189/12,0)</f>
        <v/>
      </c>
      <c r="C189" s="41">
        <f>IF(A189&lt;=duree_credit*12,H188,0)</f>
        <v/>
      </c>
      <c r="D189" s="41">
        <f>IF(A189&lt;=duree_credit*12,C189*taux_credit/12,0)</f>
        <v/>
      </c>
      <c r="E189" s="41">
        <f>IF(A189&lt;=duree_credit*12,assurance_mens,0)</f>
        <v/>
      </c>
      <c r="F189" s="41">
        <f>IF(A189&lt;=duree_credit*12,mensualite_ha-D189,0)</f>
        <v/>
      </c>
      <c r="G189" s="41">
        <f>IF(A189&lt;=duree_credit*12,mensualite_ha+E189,0)</f>
        <v/>
      </c>
      <c r="H189" s="41">
        <f>C189-F189</f>
        <v/>
      </c>
    </row>
    <row r="190">
      <c r="A190" s="37" t="n">
        <v>187</v>
      </c>
      <c r="B190" s="37">
        <f>ROUNDUP(A190/12,0)</f>
        <v/>
      </c>
      <c r="C190" s="38">
        <f>IF(A190&lt;=duree_credit*12,H189,0)</f>
        <v/>
      </c>
      <c r="D190" s="38">
        <f>IF(A190&lt;=duree_credit*12,C190*taux_credit/12,0)</f>
        <v/>
      </c>
      <c r="E190" s="38">
        <f>IF(A190&lt;=duree_credit*12,assurance_mens,0)</f>
        <v/>
      </c>
      <c r="F190" s="38">
        <f>IF(A190&lt;=duree_credit*12,mensualite_ha-D190,0)</f>
        <v/>
      </c>
      <c r="G190" s="38">
        <f>IF(A190&lt;=duree_credit*12,mensualite_ha+E190,0)</f>
        <v/>
      </c>
      <c r="H190" s="38">
        <f>C190-F190</f>
        <v/>
      </c>
    </row>
    <row r="191">
      <c r="A191" s="40" t="n">
        <v>188</v>
      </c>
      <c r="B191" s="40">
        <f>ROUNDUP(A191/12,0)</f>
        <v/>
      </c>
      <c r="C191" s="41">
        <f>IF(A191&lt;=duree_credit*12,H190,0)</f>
        <v/>
      </c>
      <c r="D191" s="41">
        <f>IF(A191&lt;=duree_credit*12,C191*taux_credit/12,0)</f>
        <v/>
      </c>
      <c r="E191" s="41">
        <f>IF(A191&lt;=duree_credit*12,assurance_mens,0)</f>
        <v/>
      </c>
      <c r="F191" s="41">
        <f>IF(A191&lt;=duree_credit*12,mensualite_ha-D191,0)</f>
        <v/>
      </c>
      <c r="G191" s="41">
        <f>IF(A191&lt;=duree_credit*12,mensualite_ha+E191,0)</f>
        <v/>
      </c>
      <c r="H191" s="41">
        <f>C191-F191</f>
        <v/>
      </c>
    </row>
    <row r="192">
      <c r="A192" s="37" t="n">
        <v>189</v>
      </c>
      <c r="B192" s="37">
        <f>ROUNDUP(A192/12,0)</f>
        <v/>
      </c>
      <c r="C192" s="38">
        <f>IF(A192&lt;=duree_credit*12,H191,0)</f>
        <v/>
      </c>
      <c r="D192" s="38">
        <f>IF(A192&lt;=duree_credit*12,C192*taux_credit/12,0)</f>
        <v/>
      </c>
      <c r="E192" s="38">
        <f>IF(A192&lt;=duree_credit*12,assurance_mens,0)</f>
        <v/>
      </c>
      <c r="F192" s="38">
        <f>IF(A192&lt;=duree_credit*12,mensualite_ha-D192,0)</f>
        <v/>
      </c>
      <c r="G192" s="38">
        <f>IF(A192&lt;=duree_credit*12,mensualite_ha+E192,0)</f>
        <v/>
      </c>
      <c r="H192" s="38">
        <f>C192-F192</f>
        <v/>
      </c>
    </row>
    <row r="193">
      <c r="A193" s="40" t="n">
        <v>190</v>
      </c>
      <c r="B193" s="40">
        <f>ROUNDUP(A193/12,0)</f>
        <v/>
      </c>
      <c r="C193" s="41">
        <f>IF(A193&lt;=duree_credit*12,H192,0)</f>
        <v/>
      </c>
      <c r="D193" s="41">
        <f>IF(A193&lt;=duree_credit*12,C193*taux_credit/12,0)</f>
        <v/>
      </c>
      <c r="E193" s="41">
        <f>IF(A193&lt;=duree_credit*12,assurance_mens,0)</f>
        <v/>
      </c>
      <c r="F193" s="41">
        <f>IF(A193&lt;=duree_credit*12,mensualite_ha-D193,0)</f>
        <v/>
      </c>
      <c r="G193" s="41">
        <f>IF(A193&lt;=duree_credit*12,mensualite_ha+E193,0)</f>
        <v/>
      </c>
      <c r="H193" s="41">
        <f>C193-F193</f>
        <v/>
      </c>
    </row>
    <row r="194">
      <c r="A194" s="37" t="n">
        <v>191</v>
      </c>
      <c r="B194" s="37">
        <f>ROUNDUP(A194/12,0)</f>
        <v/>
      </c>
      <c r="C194" s="38">
        <f>IF(A194&lt;=duree_credit*12,H193,0)</f>
        <v/>
      </c>
      <c r="D194" s="38">
        <f>IF(A194&lt;=duree_credit*12,C194*taux_credit/12,0)</f>
        <v/>
      </c>
      <c r="E194" s="38">
        <f>IF(A194&lt;=duree_credit*12,assurance_mens,0)</f>
        <v/>
      </c>
      <c r="F194" s="38">
        <f>IF(A194&lt;=duree_credit*12,mensualite_ha-D194,0)</f>
        <v/>
      </c>
      <c r="G194" s="38">
        <f>IF(A194&lt;=duree_credit*12,mensualite_ha+E194,0)</f>
        <v/>
      </c>
      <c r="H194" s="38">
        <f>C194-F194</f>
        <v/>
      </c>
    </row>
    <row r="195">
      <c r="A195" s="40" t="n">
        <v>192</v>
      </c>
      <c r="B195" s="40">
        <f>ROUNDUP(A195/12,0)</f>
        <v/>
      </c>
      <c r="C195" s="41">
        <f>IF(A195&lt;=duree_credit*12,H194,0)</f>
        <v/>
      </c>
      <c r="D195" s="41">
        <f>IF(A195&lt;=duree_credit*12,C195*taux_credit/12,0)</f>
        <v/>
      </c>
      <c r="E195" s="41">
        <f>IF(A195&lt;=duree_credit*12,assurance_mens,0)</f>
        <v/>
      </c>
      <c r="F195" s="41">
        <f>IF(A195&lt;=duree_credit*12,mensualite_ha-D195,0)</f>
        <v/>
      </c>
      <c r="G195" s="41">
        <f>IF(A195&lt;=duree_credit*12,mensualite_ha+E195,0)</f>
        <v/>
      </c>
      <c r="H195" s="41">
        <f>C195-F195</f>
        <v/>
      </c>
    </row>
    <row r="196">
      <c r="A196" s="37" t="n">
        <v>193</v>
      </c>
      <c r="B196" s="37">
        <f>ROUNDUP(A196/12,0)</f>
        <v/>
      </c>
      <c r="C196" s="38">
        <f>IF(A196&lt;=duree_credit*12,H195,0)</f>
        <v/>
      </c>
      <c r="D196" s="38">
        <f>IF(A196&lt;=duree_credit*12,C196*taux_credit/12,0)</f>
        <v/>
      </c>
      <c r="E196" s="38">
        <f>IF(A196&lt;=duree_credit*12,assurance_mens,0)</f>
        <v/>
      </c>
      <c r="F196" s="38">
        <f>IF(A196&lt;=duree_credit*12,mensualite_ha-D196,0)</f>
        <v/>
      </c>
      <c r="G196" s="38">
        <f>IF(A196&lt;=duree_credit*12,mensualite_ha+E196,0)</f>
        <v/>
      </c>
      <c r="H196" s="38">
        <f>C196-F196</f>
        <v/>
      </c>
    </row>
    <row r="197">
      <c r="A197" s="40" t="n">
        <v>194</v>
      </c>
      <c r="B197" s="40">
        <f>ROUNDUP(A197/12,0)</f>
        <v/>
      </c>
      <c r="C197" s="41">
        <f>IF(A197&lt;=duree_credit*12,H196,0)</f>
        <v/>
      </c>
      <c r="D197" s="41">
        <f>IF(A197&lt;=duree_credit*12,C197*taux_credit/12,0)</f>
        <v/>
      </c>
      <c r="E197" s="41">
        <f>IF(A197&lt;=duree_credit*12,assurance_mens,0)</f>
        <v/>
      </c>
      <c r="F197" s="41">
        <f>IF(A197&lt;=duree_credit*12,mensualite_ha-D197,0)</f>
        <v/>
      </c>
      <c r="G197" s="41">
        <f>IF(A197&lt;=duree_credit*12,mensualite_ha+E197,0)</f>
        <v/>
      </c>
      <c r="H197" s="41">
        <f>C197-F197</f>
        <v/>
      </c>
    </row>
    <row r="198">
      <c r="A198" s="37" t="n">
        <v>195</v>
      </c>
      <c r="B198" s="37">
        <f>ROUNDUP(A198/12,0)</f>
        <v/>
      </c>
      <c r="C198" s="38">
        <f>IF(A198&lt;=duree_credit*12,H197,0)</f>
        <v/>
      </c>
      <c r="D198" s="38">
        <f>IF(A198&lt;=duree_credit*12,C198*taux_credit/12,0)</f>
        <v/>
      </c>
      <c r="E198" s="38">
        <f>IF(A198&lt;=duree_credit*12,assurance_mens,0)</f>
        <v/>
      </c>
      <c r="F198" s="38">
        <f>IF(A198&lt;=duree_credit*12,mensualite_ha-D198,0)</f>
        <v/>
      </c>
      <c r="G198" s="38">
        <f>IF(A198&lt;=duree_credit*12,mensualite_ha+E198,0)</f>
        <v/>
      </c>
      <c r="H198" s="38">
        <f>C198-F198</f>
        <v/>
      </c>
    </row>
    <row r="199">
      <c r="A199" s="40" t="n">
        <v>196</v>
      </c>
      <c r="B199" s="40">
        <f>ROUNDUP(A199/12,0)</f>
        <v/>
      </c>
      <c r="C199" s="41">
        <f>IF(A199&lt;=duree_credit*12,H198,0)</f>
        <v/>
      </c>
      <c r="D199" s="41">
        <f>IF(A199&lt;=duree_credit*12,C199*taux_credit/12,0)</f>
        <v/>
      </c>
      <c r="E199" s="41">
        <f>IF(A199&lt;=duree_credit*12,assurance_mens,0)</f>
        <v/>
      </c>
      <c r="F199" s="41">
        <f>IF(A199&lt;=duree_credit*12,mensualite_ha-D199,0)</f>
        <v/>
      </c>
      <c r="G199" s="41">
        <f>IF(A199&lt;=duree_credit*12,mensualite_ha+E199,0)</f>
        <v/>
      </c>
      <c r="H199" s="41">
        <f>C199-F199</f>
        <v/>
      </c>
    </row>
    <row r="200">
      <c r="A200" s="37" t="n">
        <v>197</v>
      </c>
      <c r="B200" s="37">
        <f>ROUNDUP(A200/12,0)</f>
        <v/>
      </c>
      <c r="C200" s="38">
        <f>IF(A200&lt;=duree_credit*12,H199,0)</f>
        <v/>
      </c>
      <c r="D200" s="38">
        <f>IF(A200&lt;=duree_credit*12,C200*taux_credit/12,0)</f>
        <v/>
      </c>
      <c r="E200" s="38">
        <f>IF(A200&lt;=duree_credit*12,assurance_mens,0)</f>
        <v/>
      </c>
      <c r="F200" s="38">
        <f>IF(A200&lt;=duree_credit*12,mensualite_ha-D200,0)</f>
        <v/>
      </c>
      <c r="G200" s="38">
        <f>IF(A200&lt;=duree_credit*12,mensualite_ha+E200,0)</f>
        <v/>
      </c>
      <c r="H200" s="38">
        <f>C200-F200</f>
        <v/>
      </c>
    </row>
    <row r="201">
      <c r="A201" s="40" t="n">
        <v>198</v>
      </c>
      <c r="B201" s="40">
        <f>ROUNDUP(A201/12,0)</f>
        <v/>
      </c>
      <c r="C201" s="41">
        <f>IF(A201&lt;=duree_credit*12,H200,0)</f>
        <v/>
      </c>
      <c r="D201" s="41">
        <f>IF(A201&lt;=duree_credit*12,C201*taux_credit/12,0)</f>
        <v/>
      </c>
      <c r="E201" s="41">
        <f>IF(A201&lt;=duree_credit*12,assurance_mens,0)</f>
        <v/>
      </c>
      <c r="F201" s="41">
        <f>IF(A201&lt;=duree_credit*12,mensualite_ha-D201,0)</f>
        <v/>
      </c>
      <c r="G201" s="41">
        <f>IF(A201&lt;=duree_credit*12,mensualite_ha+E201,0)</f>
        <v/>
      </c>
      <c r="H201" s="41">
        <f>C201-F201</f>
        <v/>
      </c>
    </row>
    <row r="202">
      <c r="A202" s="37" t="n">
        <v>199</v>
      </c>
      <c r="B202" s="37">
        <f>ROUNDUP(A202/12,0)</f>
        <v/>
      </c>
      <c r="C202" s="38">
        <f>IF(A202&lt;=duree_credit*12,H201,0)</f>
        <v/>
      </c>
      <c r="D202" s="38">
        <f>IF(A202&lt;=duree_credit*12,C202*taux_credit/12,0)</f>
        <v/>
      </c>
      <c r="E202" s="38">
        <f>IF(A202&lt;=duree_credit*12,assurance_mens,0)</f>
        <v/>
      </c>
      <c r="F202" s="38">
        <f>IF(A202&lt;=duree_credit*12,mensualite_ha-D202,0)</f>
        <v/>
      </c>
      <c r="G202" s="38">
        <f>IF(A202&lt;=duree_credit*12,mensualite_ha+E202,0)</f>
        <v/>
      </c>
      <c r="H202" s="38">
        <f>C202-F202</f>
        <v/>
      </c>
    </row>
    <row r="203">
      <c r="A203" s="40" t="n">
        <v>200</v>
      </c>
      <c r="B203" s="40">
        <f>ROUNDUP(A203/12,0)</f>
        <v/>
      </c>
      <c r="C203" s="41">
        <f>IF(A203&lt;=duree_credit*12,H202,0)</f>
        <v/>
      </c>
      <c r="D203" s="41">
        <f>IF(A203&lt;=duree_credit*12,C203*taux_credit/12,0)</f>
        <v/>
      </c>
      <c r="E203" s="41">
        <f>IF(A203&lt;=duree_credit*12,assurance_mens,0)</f>
        <v/>
      </c>
      <c r="F203" s="41">
        <f>IF(A203&lt;=duree_credit*12,mensualite_ha-D203,0)</f>
        <v/>
      </c>
      <c r="G203" s="41">
        <f>IF(A203&lt;=duree_credit*12,mensualite_ha+E203,0)</f>
        <v/>
      </c>
      <c r="H203" s="41">
        <f>C203-F203</f>
        <v/>
      </c>
    </row>
    <row r="204">
      <c r="A204" s="37" t="n">
        <v>201</v>
      </c>
      <c r="B204" s="37">
        <f>ROUNDUP(A204/12,0)</f>
        <v/>
      </c>
      <c r="C204" s="38">
        <f>IF(A204&lt;=duree_credit*12,H203,0)</f>
        <v/>
      </c>
      <c r="D204" s="38">
        <f>IF(A204&lt;=duree_credit*12,C204*taux_credit/12,0)</f>
        <v/>
      </c>
      <c r="E204" s="38">
        <f>IF(A204&lt;=duree_credit*12,assurance_mens,0)</f>
        <v/>
      </c>
      <c r="F204" s="38">
        <f>IF(A204&lt;=duree_credit*12,mensualite_ha-D204,0)</f>
        <v/>
      </c>
      <c r="G204" s="38">
        <f>IF(A204&lt;=duree_credit*12,mensualite_ha+E204,0)</f>
        <v/>
      </c>
      <c r="H204" s="38">
        <f>C204-F204</f>
        <v/>
      </c>
    </row>
    <row r="205">
      <c r="A205" s="40" t="n">
        <v>202</v>
      </c>
      <c r="B205" s="40">
        <f>ROUNDUP(A205/12,0)</f>
        <v/>
      </c>
      <c r="C205" s="41">
        <f>IF(A205&lt;=duree_credit*12,H204,0)</f>
        <v/>
      </c>
      <c r="D205" s="41">
        <f>IF(A205&lt;=duree_credit*12,C205*taux_credit/12,0)</f>
        <v/>
      </c>
      <c r="E205" s="41">
        <f>IF(A205&lt;=duree_credit*12,assurance_mens,0)</f>
        <v/>
      </c>
      <c r="F205" s="41">
        <f>IF(A205&lt;=duree_credit*12,mensualite_ha-D205,0)</f>
        <v/>
      </c>
      <c r="G205" s="41">
        <f>IF(A205&lt;=duree_credit*12,mensualite_ha+E205,0)</f>
        <v/>
      </c>
      <c r="H205" s="41">
        <f>C205-F205</f>
        <v/>
      </c>
    </row>
    <row r="206">
      <c r="A206" s="37" t="n">
        <v>203</v>
      </c>
      <c r="B206" s="37">
        <f>ROUNDUP(A206/12,0)</f>
        <v/>
      </c>
      <c r="C206" s="38">
        <f>IF(A206&lt;=duree_credit*12,H205,0)</f>
        <v/>
      </c>
      <c r="D206" s="38">
        <f>IF(A206&lt;=duree_credit*12,C206*taux_credit/12,0)</f>
        <v/>
      </c>
      <c r="E206" s="38">
        <f>IF(A206&lt;=duree_credit*12,assurance_mens,0)</f>
        <v/>
      </c>
      <c r="F206" s="38">
        <f>IF(A206&lt;=duree_credit*12,mensualite_ha-D206,0)</f>
        <v/>
      </c>
      <c r="G206" s="38">
        <f>IF(A206&lt;=duree_credit*12,mensualite_ha+E206,0)</f>
        <v/>
      </c>
      <c r="H206" s="38">
        <f>C206-F206</f>
        <v/>
      </c>
    </row>
    <row r="207">
      <c r="A207" s="40" t="n">
        <v>204</v>
      </c>
      <c r="B207" s="40">
        <f>ROUNDUP(A207/12,0)</f>
        <v/>
      </c>
      <c r="C207" s="41">
        <f>IF(A207&lt;=duree_credit*12,H206,0)</f>
        <v/>
      </c>
      <c r="D207" s="41">
        <f>IF(A207&lt;=duree_credit*12,C207*taux_credit/12,0)</f>
        <v/>
      </c>
      <c r="E207" s="41">
        <f>IF(A207&lt;=duree_credit*12,assurance_mens,0)</f>
        <v/>
      </c>
      <c r="F207" s="41">
        <f>IF(A207&lt;=duree_credit*12,mensualite_ha-D207,0)</f>
        <v/>
      </c>
      <c r="G207" s="41">
        <f>IF(A207&lt;=duree_credit*12,mensualite_ha+E207,0)</f>
        <v/>
      </c>
      <c r="H207" s="41">
        <f>C207-F207</f>
        <v/>
      </c>
    </row>
    <row r="208">
      <c r="A208" s="37" t="n">
        <v>205</v>
      </c>
      <c r="B208" s="37">
        <f>ROUNDUP(A208/12,0)</f>
        <v/>
      </c>
      <c r="C208" s="38">
        <f>IF(A208&lt;=duree_credit*12,H207,0)</f>
        <v/>
      </c>
      <c r="D208" s="38">
        <f>IF(A208&lt;=duree_credit*12,C208*taux_credit/12,0)</f>
        <v/>
      </c>
      <c r="E208" s="38">
        <f>IF(A208&lt;=duree_credit*12,assurance_mens,0)</f>
        <v/>
      </c>
      <c r="F208" s="38">
        <f>IF(A208&lt;=duree_credit*12,mensualite_ha-D208,0)</f>
        <v/>
      </c>
      <c r="G208" s="38">
        <f>IF(A208&lt;=duree_credit*12,mensualite_ha+E208,0)</f>
        <v/>
      </c>
      <c r="H208" s="38">
        <f>C208-F208</f>
        <v/>
      </c>
    </row>
    <row r="209">
      <c r="A209" s="40" t="n">
        <v>206</v>
      </c>
      <c r="B209" s="40">
        <f>ROUNDUP(A209/12,0)</f>
        <v/>
      </c>
      <c r="C209" s="41">
        <f>IF(A209&lt;=duree_credit*12,H208,0)</f>
        <v/>
      </c>
      <c r="D209" s="41">
        <f>IF(A209&lt;=duree_credit*12,C209*taux_credit/12,0)</f>
        <v/>
      </c>
      <c r="E209" s="41">
        <f>IF(A209&lt;=duree_credit*12,assurance_mens,0)</f>
        <v/>
      </c>
      <c r="F209" s="41">
        <f>IF(A209&lt;=duree_credit*12,mensualite_ha-D209,0)</f>
        <v/>
      </c>
      <c r="G209" s="41">
        <f>IF(A209&lt;=duree_credit*12,mensualite_ha+E209,0)</f>
        <v/>
      </c>
      <c r="H209" s="41">
        <f>C209-F209</f>
        <v/>
      </c>
    </row>
    <row r="210">
      <c r="A210" s="37" t="n">
        <v>207</v>
      </c>
      <c r="B210" s="37">
        <f>ROUNDUP(A210/12,0)</f>
        <v/>
      </c>
      <c r="C210" s="38">
        <f>IF(A210&lt;=duree_credit*12,H209,0)</f>
        <v/>
      </c>
      <c r="D210" s="38">
        <f>IF(A210&lt;=duree_credit*12,C210*taux_credit/12,0)</f>
        <v/>
      </c>
      <c r="E210" s="38">
        <f>IF(A210&lt;=duree_credit*12,assurance_mens,0)</f>
        <v/>
      </c>
      <c r="F210" s="38">
        <f>IF(A210&lt;=duree_credit*12,mensualite_ha-D210,0)</f>
        <v/>
      </c>
      <c r="G210" s="38">
        <f>IF(A210&lt;=duree_credit*12,mensualite_ha+E210,0)</f>
        <v/>
      </c>
      <c r="H210" s="38">
        <f>C210-F210</f>
        <v/>
      </c>
    </row>
    <row r="211">
      <c r="A211" s="40" t="n">
        <v>208</v>
      </c>
      <c r="B211" s="40">
        <f>ROUNDUP(A211/12,0)</f>
        <v/>
      </c>
      <c r="C211" s="41">
        <f>IF(A211&lt;=duree_credit*12,H210,0)</f>
        <v/>
      </c>
      <c r="D211" s="41">
        <f>IF(A211&lt;=duree_credit*12,C211*taux_credit/12,0)</f>
        <v/>
      </c>
      <c r="E211" s="41">
        <f>IF(A211&lt;=duree_credit*12,assurance_mens,0)</f>
        <v/>
      </c>
      <c r="F211" s="41">
        <f>IF(A211&lt;=duree_credit*12,mensualite_ha-D211,0)</f>
        <v/>
      </c>
      <c r="G211" s="41">
        <f>IF(A211&lt;=duree_credit*12,mensualite_ha+E211,0)</f>
        <v/>
      </c>
      <c r="H211" s="41">
        <f>C211-F211</f>
        <v/>
      </c>
    </row>
    <row r="212">
      <c r="A212" s="37" t="n">
        <v>209</v>
      </c>
      <c r="B212" s="37">
        <f>ROUNDUP(A212/12,0)</f>
        <v/>
      </c>
      <c r="C212" s="38">
        <f>IF(A212&lt;=duree_credit*12,H211,0)</f>
        <v/>
      </c>
      <c r="D212" s="38">
        <f>IF(A212&lt;=duree_credit*12,C212*taux_credit/12,0)</f>
        <v/>
      </c>
      <c r="E212" s="38">
        <f>IF(A212&lt;=duree_credit*12,assurance_mens,0)</f>
        <v/>
      </c>
      <c r="F212" s="38">
        <f>IF(A212&lt;=duree_credit*12,mensualite_ha-D212,0)</f>
        <v/>
      </c>
      <c r="G212" s="38">
        <f>IF(A212&lt;=duree_credit*12,mensualite_ha+E212,0)</f>
        <v/>
      </c>
      <c r="H212" s="38">
        <f>C212-F212</f>
        <v/>
      </c>
    </row>
    <row r="213">
      <c r="A213" s="40" t="n">
        <v>210</v>
      </c>
      <c r="B213" s="40">
        <f>ROUNDUP(A213/12,0)</f>
        <v/>
      </c>
      <c r="C213" s="41">
        <f>IF(A213&lt;=duree_credit*12,H212,0)</f>
        <v/>
      </c>
      <c r="D213" s="41">
        <f>IF(A213&lt;=duree_credit*12,C213*taux_credit/12,0)</f>
        <v/>
      </c>
      <c r="E213" s="41">
        <f>IF(A213&lt;=duree_credit*12,assurance_mens,0)</f>
        <v/>
      </c>
      <c r="F213" s="41">
        <f>IF(A213&lt;=duree_credit*12,mensualite_ha-D213,0)</f>
        <v/>
      </c>
      <c r="G213" s="41">
        <f>IF(A213&lt;=duree_credit*12,mensualite_ha+E213,0)</f>
        <v/>
      </c>
      <c r="H213" s="41">
        <f>C213-F213</f>
        <v/>
      </c>
    </row>
    <row r="214">
      <c r="A214" s="37" t="n">
        <v>211</v>
      </c>
      <c r="B214" s="37">
        <f>ROUNDUP(A214/12,0)</f>
        <v/>
      </c>
      <c r="C214" s="38">
        <f>IF(A214&lt;=duree_credit*12,H213,0)</f>
        <v/>
      </c>
      <c r="D214" s="38">
        <f>IF(A214&lt;=duree_credit*12,C214*taux_credit/12,0)</f>
        <v/>
      </c>
      <c r="E214" s="38">
        <f>IF(A214&lt;=duree_credit*12,assurance_mens,0)</f>
        <v/>
      </c>
      <c r="F214" s="38">
        <f>IF(A214&lt;=duree_credit*12,mensualite_ha-D214,0)</f>
        <v/>
      </c>
      <c r="G214" s="38">
        <f>IF(A214&lt;=duree_credit*12,mensualite_ha+E214,0)</f>
        <v/>
      </c>
      <c r="H214" s="38">
        <f>C214-F214</f>
        <v/>
      </c>
    </row>
    <row r="215">
      <c r="A215" s="40" t="n">
        <v>212</v>
      </c>
      <c r="B215" s="40">
        <f>ROUNDUP(A215/12,0)</f>
        <v/>
      </c>
      <c r="C215" s="41">
        <f>IF(A215&lt;=duree_credit*12,H214,0)</f>
        <v/>
      </c>
      <c r="D215" s="41">
        <f>IF(A215&lt;=duree_credit*12,C215*taux_credit/12,0)</f>
        <v/>
      </c>
      <c r="E215" s="41">
        <f>IF(A215&lt;=duree_credit*12,assurance_mens,0)</f>
        <v/>
      </c>
      <c r="F215" s="41">
        <f>IF(A215&lt;=duree_credit*12,mensualite_ha-D215,0)</f>
        <v/>
      </c>
      <c r="G215" s="41">
        <f>IF(A215&lt;=duree_credit*12,mensualite_ha+E215,0)</f>
        <v/>
      </c>
      <c r="H215" s="41">
        <f>C215-F215</f>
        <v/>
      </c>
    </row>
    <row r="216">
      <c r="A216" s="37" t="n">
        <v>213</v>
      </c>
      <c r="B216" s="37">
        <f>ROUNDUP(A216/12,0)</f>
        <v/>
      </c>
      <c r="C216" s="38">
        <f>IF(A216&lt;=duree_credit*12,H215,0)</f>
        <v/>
      </c>
      <c r="D216" s="38">
        <f>IF(A216&lt;=duree_credit*12,C216*taux_credit/12,0)</f>
        <v/>
      </c>
      <c r="E216" s="38">
        <f>IF(A216&lt;=duree_credit*12,assurance_mens,0)</f>
        <v/>
      </c>
      <c r="F216" s="38">
        <f>IF(A216&lt;=duree_credit*12,mensualite_ha-D216,0)</f>
        <v/>
      </c>
      <c r="G216" s="38">
        <f>IF(A216&lt;=duree_credit*12,mensualite_ha+E216,0)</f>
        <v/>
      </c>
      <c r="H216" s="38">
        <f>C216-F216</f>
        <v/>
      </c>
    </row>
    <row r="217">
      <c r="A217" s="40" t="n">
        <v>214</v>
      </c>
      <c r="B217" s="40">
        <f>ROUNDUP(A217/12,0)</f>
        <v/>
      </c>
      <c r="C217" s="41">
        <f>IF(A217&lt;=duree_credit*12,H216,0)</f>
        <v/>
      </c>
      <c r="D217" s="41">
        <f>IF(A217&lt;=duree_credit*12,C217*taux_credit/12,0)</f>
        <v/>
      </c>
      <c r="E217" s="41">
        <f>IF(A217&lt;=duree_credit*12,assurance_mens,0)</f>
        <v/>
      </c>
      <c r="F217" s="41">
        <f>IF(A217&lt;=duree_credit*12,mensualite_ha-D217,0)</f>
        <v/>
      </c>
      <c r="G217" s="41">
        <f>IF(A217&lt;=duree_credit*12,mensualite_ha+E217,0)</f>
        <v/>
      </c>
      <c r="H217" s="41">
        <f>C217-F217</f>
        <v/>
      </c>
    </row>
    <row r="218">
      <c r="A218" s="37" t="n">
        <v>215</v>
      </c>
      <c r="B218" s="37">
        <f>ROUNDUP(A218/12,0)</f>
        <v/>
      </c>
      <c r="C218" s="38">
        <f>IF(A218&lt;=duree_credit*12,H217,0)</f>
        <v/>
      </c>
      <c r="D218" s="38">
        <f>IF(A218&lt;=duree_credit*12,C218*taux_credit/12,0)</f>
        <v/>
      </c>
      <c r="E218" s="38">
        <f>IF(A218&lt;=duree_credit*12,assurance_mens,0)</f>
        <v/>
      </c>
      <c r="F218" s="38">
        <f>IF(A218&lt;=duree_credit*12,mensualite_ha-D218,0)</f>
        <v/>
      </c>
      <c r="G218" s="38">
        <f>IF(A218&lt;=duree_credit*12,mensualite_ha+E218,0)</f>
        <v/>
      </c>
      <c r="H218" s="38">
        <f>C218-F218</f>
        <v/>
      </c>
    </row>
    <row r="219">
      <c r="A219" s="40" t="n">
        <v>216</v>
      </c>
      <c r="B219" s="40">
        <f>ROUNDUP(A219/12,0)</f>
        <v/>
      </c>
      <c r="C219" s="41">
        <f>IF(A219&lt;=duree_credit*12,H218,0)</f>
        <v/>
      </c>
      <c r="D219" s="41">
        <f>IF(A219&lt;=duree_credit*12,C219*taux_credit/12,0)</f>
        <v/>
      </c>
      <c r="E219" s="41">
        <f>IF(A219&lt;=duree_credit*12,assurance_mens,0)</f>
        <v/>
      </c>
      <c r="F219" s="41">
        <f>IF(A219&lt;=duree_credit*12,mensualite_ha-D219,0)</f>
        <v/>
      </c>
      <c r="G219" s="41">
        <f>IF(A219&lt;=duree_credit*12,mensualite_ha+E219,0)</f>
        <v/>
      </c>
      <c r="H219" s="41">
        <f>C219-F219</f>
        <v/>
      </c>
    </row>
    <row r="220">
      <c r="A220" s="37" t="n">
        <v>217</v>
      </c>
      <c r="B220" s="37">
        <f>ROUNDUP(A220/12,0)</f>
        <v/>
      </c>
      <c r="C220" s="38">
        <f>IF(A220&lt;=duree_credit*12,H219,0)</f>
        <v/>
      </c>
      <c r="D220" s="38">
        <f>IF(A220&lt;=duree_credit*12,C220*taux_credit/12,0)</f>
        <v/>
      </c>
      <c r="E220" s="38">
        <f>IF(A220&lt;=duree_credit*12,assurance_mens,0)</f>
        <v/>
      </c>
      <c r="F220" s="38">
        <f>IF(A220&lt;=duree_credit*12,mensualite_ha-D220,0)</f>
        <v/>
      </c>
      <c r="G220" s="38">
        <f>IF(A220&lt;=duree_credit*12,mensualite_ha+E220,0)</f>
        <v/>
      </c>
      <c r="H220" s="38">
        <f>C220-F220</f>
        <v/>
      </c>
    </row>
    <row r="221">
      <c r="A221" s="40" t="n">
        <v>218</v>
      </c>
      <c r="B221" s="40">
        <f>ROUNDUP(A221/12,0)</f>
        <v/>
      </c>
      <c r="C221" s="41">
        <f>IF(A221&lt;=duree_credit*12,H220,0)</f>
        <v/>
      </c>
      <c r="D221" s="41">
        <f>IF(A221&lt;=duree_credit*12,C221*taux_credit/12,0)</f>
        <v/>
      </c>
      <c r="E221" s="41">
        <f>IF(A221&lt;=duree_credit*12,assurance_mens,0)</f>
        <v/>
      </c>
      <c r="F221" s="41">
        <f>IF(A221&lt;=duree_credit*12,mensualite_ha-D221,0)</f>
        <v/>
      </c>
      <c r="G221" s="41">
        <f>IF(A221&lt;=duree_credit*12,mensualite_ha+E221,0)</f>
        <v/>
      </c>
      <c r="H221" s="41">
        <f>C221-F221</f>
        <v/>
      </c>
    </row>
    <row r="222">
      <c r="A222" s="37" t="n">
        <v>219</v>
      </c>
      <c r="B222" s="37">
        <f>ROUNDUP(A222/12,0)</f>
        <v/>
      </c>
      <c r="C222" s="38">
        <f>IF(A222&lt;=duree_credit*12,H221,0)</f>
        <v/>
      </c>
      <c r="D222" s="38">
        <f>IF(A222&lt;=duree_credit*12,C222*taux_credit/12,0)</f>
        <v/>
      </c>
      <c r="E222" s="38">
        <f>IF(A222&lt;=duree_credit*12,assurance_mens,0)</f>
        <v/>
      </c>
      <c r="F222" s="38">
        <f>IF(A222&lt;=duree_credit*12,mensualite_ha-D222,0)</f>
        <v/>
      </c>
      <c r="G222" s="38">
        <f>IF(A222&lt;=duree_credit*12,mensualite_ha+E222,0)</f>
        <v/>
      </c>
      <c r="H222" s="38">
        <f>C222-F222</f>
        <v/>
      </c>
    </row>
    <row r="223">
      <c r="A223" s="40" t="n">
        <v>220</v>
      </c>
      <c r="B223" s="40">
        <f>ROUNDUP(A223/12,0)</f>
        <v/>
      </c>
      <c r="C223" s="41">
        <f>IF(A223&lt;=duree_credit*12,H222,0)</f>
        <v/>
      </c>
      <c r="D223" s="41">
        <f>IF(A223&lt;=duree_credit*12,C223*taux_credit/12,0)</f>
        <v/>
      </c>
      <c r="E223" s="41">
        <f>IF(A223&lt;=duree_credit*12,assurance_mens,0)</f>
        <v/>
      </c>
      <c r="F223" s="41">
        <f>IF(A223&lt;=duree_credit*12,mensualite_ha-D223,0)</f>
        <v/>
      </c>
      <c r="G223" s="41">
        <f>IF(A223&lt;=duree_credit*12,mensualite_ha+E223,0)</f>
        <v/>
      </c>
      <c r="H223" s="41">
        <f>C223-F223</f>
        <v/>
      </c>
    </row>
    <row r="224">
      <c r="A224" s="37" t="n">
        <v>221</v>
      </c>
      <c r="B224" s="37">
        <f>ROUNDUP(A224/12,0)</f>
        <v/>
      </c>
      <c r="C224" s="38">
        <f>IF(A224&lt;=duree_credit*12,H223,0)</f>
        <v/>
      </c>
      <c r="D224" s="38">
        <f>IF(A224&lt;=duree_credit*12,C224*taux_credit/12,0)</f>
        <v/>
      </c>
      <c r="E224" s="38">
        <f>IF(A224&lt;=duree_credit*12,assurance_mens,0)</f>
        <v/>
      </c>
      <c r="F224" s="38">
        <f>IF(A224&lt;=duree_credit*12,mensualite_ha-D224,0)</f>
        <v/>
      </c>
      <c r="G224" s="38">
        <f>IF(A224&lt;=duree_credit*12,mensualite_ha+E224,0)</f>
        <v/>
      </c>
      <c r="H224" s="38">
        <f>C224-F224</f>
        <v/>
      </c>
    </row>
    <row r="225">
      <c r="A225" s="40" t="n">
        <v>222</v>
      </c>
      <c r="B225" s="40">
        <f>ROUNDUP(A225/12,0)</f>
        <v/>
      </c>
      <c r="C225" s="41">
        <f>IF(A225&lt;=duree_credit*12,H224,0)</f>
        <v/>
      </c>
      <c r="D225" s="41">
        <f>IF(A225&lt;=duree_credit*12,C225*taux_credit/12,0)</f>
        <v/>
      </c>
      <c r="E225" s="41">
        <f>IF(A225&lt;=duree_credit*12,assurance_mens,0)</f>
        <v/>
      </c>
      <c r="F225" s="41">
        <f>IF(A225&lt;=duree_credit*12,mensualite_ha-D225,0)</f>
        <v/>
      </c>
      <c r="G225" s="41">
        <f>IF(A225&lt;=duree_credit*12,mensualite_ha+E225,0)</f>
        <v/>
      </c>
      <c r="H225" s="41">
        <f>C225-F225</f>
        <v/>
      </c>
    </row>
    <row r="226">
      <c r="A226" s="37" t="n">
        <v>223</v>
      </c>
      <c r="B226" s="37">
        <f>ROUNDUP(A226/12,0)</f>
        <v/>
      </c>
      <c r="C226" s="38">
        <f>IF(A226&lt;=duree_credit*12,H225,0)</f>
        <v/>
      </c>
      <c r="D226" s="38">
        <f>IF(A226&lt;=duree_credit*12,C226*taux_credit/12,0)</f>
        <v/>
      </c>
      <c r="E226" s="38">
        <f>IF(A226&lt;=duree_credit*12,assurance_mens,0)</f>
        <v/>
      </c>
      <c r="F226" s="38">
        <f>IF(A226&lt;=duree_credit*12,mensualite_ha-D226,0)</f>
        <v/>
      </c>
      <c r="G226" s="38">
        <f>IF(A226&lt;=duree_credit*12,mensualite_ha+E226,0)</f>
        <v/>
      </c>
      <c r="H226" s="38">
        <f>C226-F226</f>
        <v/>
      </c>
    </row>
    <row r="227">
      <c r="A227" s="40" t="n">
        <v>224</v>
      </c>
      <c r="B227" s="40">
        <f>ROUNDUP(A227/12,0)</f>
        <v/>
      </c>
      <c r="C227" s="41">
        <f>IF(A227&lt;=duree_credit*12,H226,0)</f>
        <v/>
      </c>
      <c r="D227" s="41">
        <f>IF(A227&lt;=duree_credit*12,C227*taux_credit/12,0)</f>
        <v/>
      </c>
      <c r="E227" s="41">
        <f>IF(A227&lt;=duree_credit*12,assurance_mens,0)</f>
        <v/>
      </c>
      <c r="F227" s="41">
        <f>IF(A227&lt;=duree_credit*12,mensualite_ha-D227,0)</f>
        <v/>
      </c>
      <c r="G227" s="41">
        <f>IF(A227&lt;=duree_credit*12,mensualite_ha+E227,0)</f>
        <v/>
      </c>
      <c r="H227" s="41">
        <f>C227-F227</f>
        <v/>
      </c>
    </row>
    <row r="228">
      <c r="A228" s="37" t="n">
        <v>225</v>
      </c>
      <c r="B228" s="37">
        <f>ROUNDUP(A228/12,0)</f>
        <v/>
      </c>
      <c r="C228" s="38">
        <f>IF(A228&lt;=duree_credit*12,H227,0)</f>
        <v/>
      </c>
      <c r="D228" s="38">
        <f>IF(A228&lt;=duree_credit*12,C228*taux_credit/12,0)</f>
        <v/>
      </c>
      <c r="E228" s="38">
        <f>IF(A228&lt;=duree_credit*12,assurance_mens,0)</f>
        <v/>
      </c>
      <c r="F228" s="38">
        <f>IF(A228&lt;=duree_credit*12,mensualite_ha-D228,0)</f>
        <v/>
      </c>
      <c r="G228" s="38">
        <f>IF(A228&lt;=duree_credit*12,mensualite_ha+E228,0)</f>
        <v/>
      </c>
      <c r="H228" s="38">
        <f>C228-F228</f>
        <v/>
      </c>
    </row>
    <row r="229">
      <c r="A229" s="40" t="n">
        <v>226</v>
      </c>
      <c r="B229" s="40">
        <f>ROUNDUP(A229/12,0)</f>
        <v/>
      </c>
      <c r="C229" s="41">
        <f>IF(A229&lt;=duree_credit*12,H228,0)</f>
        <v/>
      </c>
      <c r="D229" s="41">
        <f>IF(A229&lt;=duree_credit*12,C229*taux_credit/12,0)</f>
        <v/>
      </c>
      <c r="E229" s="41">
        <f>IF(A229&lt;=duree_credit*12,assurance_mens,0)</f>
        <v/>
      </c>
      <c r="F229" s="41">
        <f>IF(A229&lt;=duree_credit*12,mensualite_ha-D229,0)</f>
        <v/>
      </c>
      <c r="G229" s="41">
        <f>IF(A229&lt;=duree_credit*12,mensualite_ha+E229,0)</f>
        <v/>
      </c>
      <c r="H229" s="41">
        <f>C229-F229</f>
        <v/>
      </c>
    </row>
    <row r="230">
      <c r="A230" s="37" t="n">
        <v>227</v>
      </c>
      <c r="B230" s="37">
        <f>ROUNDUP(A230/12,0)</f>
        <v/>
      </c>
      <c r="C230" s="38">
        <f>IF(A230&lt;=duree_credit*12,H229,0)</f>
        <v/>
      </c>
      <c r="D230" s="38">
        <f>IF(A230&lt;=duree_credit*12,C230*taux_credit/12,0)</f>
        <v/>
      </c>
      <c r="E230" s="38">
        <f>IF(A230&lt;=duree_credit*12,assurance_mens,0)</f>
        <v/>
      </c>
      <c r="F230" s="38">
        <f>IF(A230&lt;=duree_credit*12,mensualite_ha-D230,0)</f>
        <v/>
      </c>
      <c r="G230" s="38">
        <f>IF(A230&lt;=duree_credit*12,mensualite_ha+E230,0)</f>
        <v/>
      </c>
      <c r="H230" s="38">
        <f>C230-F230</f>
        <v/>
      </c>
    </row>
    <row r="231">
      <c r="A231" s="40" t="n">
        <v>228</v>
      </c>
      <c r="B231" s="40">
        <f>ROUNDUP(A231/12,0)</f>
        <v/>
      </c>
      <c r="C231" s="41">
        <f>IF(A231&lt;=duree_credit*12,H230,0)</f>
        <v/>
      </c>
      <c r="D231" s="41">
        <f>IF(A231&lt;=duree_credit*12,C231*taux_credit/12,0)</f>
        <v/>
      </c>
      <c r="E231" s="41">
        <f>IF(A231&lt;=duree_credit*12,assurance_mens,0)</f>
        <v/>
      </c>
      <c r="F231" s="41">
        <f>IF(A231&lt;=duree_credit*12,mensualite_ha-D231,0)</f>
        <v/>
      </c>
      <c r="G231" s="41">
        <f>IF(A231&lt;=duree_credit*12,mensualite_ha+E231,0)</f>
        <v/>
      </c>
      <c r="H231" s="41">
        <f>C231-F231</f>
        <v/>
      </c>
    </row>
    <row r="232">
      <c r="A232" s="37" t="n">
        <v>229</v>
      </c>
      <c r="B232" s="37">
        <f>ROUNDUP(A232/12,0)</f>
        <v/>
      </c>
      <c r="C232" s="38">
        <f>IF(A232&lt;=duree_credit*12,H231,0)</f>
        <v/>
      </c>
      <c r="D232" s="38">
        <f>IF(A232&lt;=duree_credit*12,C232*taux_credit/12,0)</f>
        <v/>
      </c>
      <c r="E232" s="38">
        <f>IF(A232&lt;=duree_credit*12,assurance_mens,0)</f>
        <v/>
      </c>
      <c r="F232" s="38">
        <f>IF(A232&lt;=duree_credit*12,mensualite_ha-D232,0)</f>
        <v/>
      </c>
      <c r="G232" s="38">
        <f>IF(A232&lt;=duree_credit*12,mensualite_ha+E232,0)</f>
        <v/>
      </c>
      <c r="H232" s="38">
        <f>C232-F232</f>
        <v/>
      </c>
    </row>
    <row r="233">
      <c r="A233" s="40" t="n">
        <v>230</v>
      </c>
      <c r="B233" s="40">
        <f>ROUNDUP(A233/12,0)</f>
        <v/>
      </c>
      <c r="C233" s="41">
        <f>IF(A233&lt;=duree_credit*12,H232,0)</f>
        <v/>
      </c>
      <c r="D233" s="41">
        <f>IF(A233&lt;=duree_credit*12,C233*taux_credit/12,0)</f>
        <v/>
      </c>
      <c r="E233" s="41">
        <f>IF(A233&lt;=duree_credit*12,assurance_mens,0)</f>
        <v/>
      </c>
      <c r="F233" s="41">
        <f>IF(A233&lt;=duree_credit*12,mensualite_ha-D233,0)</f>
        <v/>
      </c>
      <c r="G233" s="41">
        <f>IF(A233&lt;=duree_credit*12,mensualite_ha+E233,0)</f>
        <v/>
      </c>
      <c r="H233" s="41">
        <f>C233-F233</f>
        <v/>
      </c>
    </row>
    <row r="234">
      <c r="A234" s="37" t="n">
        <v>231</v>
      </c>
      <c r="B234" s="37">
        <f>ROUNDUP(A234/12,0)</f>
        <v/>
      </c>
      <c r="C234" s="38">
        <f>IF(A234&lt;=duree_credit*12,H233,0)</f>
        <v/>
      </c>
      <c r="D234" s="38">
        <f>IF(A234&lt;=duree_credit*12,C234*taux_credit/12,0)</f>
        <v/>
      </c>
      <c r="E234" s="38">
        <f>IF(A234&lt;=duree_credit*12,assurance_mens,0)</f>
        <v/>
      </c>
      <c r="F234" s="38">
        <f>IF(A234&lt;=duree_credit*12,mensualite_ha-D234,0)</f>
        <v/>
      </c>
      <c r="G234" s="38">
        <f>IF(A234&lt;=duree_credit*12,mensualite_ha+E234,0)</f>
        <v/>
      </c>
      <c r="H234" s="38">
        <f>C234-F234</f>
        <v/>
      </c>
    </row>
    <row r="235">
      <c r="A235" s="40" t="n">
        <v>232</v>
      </c>
      <c r="B235" s="40">
        <f>ROUNDUP(A235/12,0)</f>
        <v/>
      </c>
      <c r="C235" s="41">
        <f>IF(A235&lt;=duree_credit*12,H234,0)</f>
        <v/>
      </c>
      <c r="D235" s="41">
        <f>IF(A235&lt;=duree_credit*12,C235*taux_credit/12,0)</f>
        <v/>
      </c>
      <c r="E235" s="41">
        <f>IF(A235&lt;=duree_credit*12,assurance_mens,0)</f>
        <v/>
      </c>
      <c r="F235" s="41">
        <f>IF(A235&lt;=duree_credit*12,mensualite_ha-D235,0)</f>
        <v/>
      </c>
      <c r="G235" s="41">
        <f>IF(A235&lt;=duree_credit*12,mensualite_ha+E235,0)</f>
        <v/>
      </c>
      <c r="H235" s="41">
        <f>C235-F235</f>
        <v/>
      </c>
    </row>
    <row r="236">
      <c r="A236" s="37" t="n">
        <v>233</v>
      </c>
      <c r="B236" s="37">
        <f>ROUNDUP(A236/12,0)</f>
        <v/>
      </c>
      <c r="C236" s="38">
        <f>IF(A236&lt;=duree_credit*12,H235,0)</f>
        <v/>
      </c>
      <c r="D236" s="38">
        <f>IF(A236&lt;=duree_credit*12,C236*taux_credit/12,0)</f>
        <v/>
      </c>
      <c r="E236" s="38">
        <f>IF(A236&lt;=duree_credit*12,assurance_mens,0)</f>
        <v/>
      </c>
      <c r="F236" s="38">
        <f>IF(A236&lt;=duree_credit*12,mensualite_ha-D236,0)</f>
        <v/>
      </c>
      <c r="G236" s="38">
        <f>IF(A236&lt;=duree_credit*12,mensualite_ha+E236,0)</f>
        <v/>
      </c>
      <c r="H236" s="38">
        <f>C236-F236</f>
        <v/>
      </c>
    </row>
    <row r="237">
      <c r="A237" s="40" t="n">
        <v>234</v>
      </c>
      <c r="B237" s="40">
        <f>ROUNDUP(A237/12,0)</f>
        <v/>
      </c>
      <c r="C237" s="41">
        <f>IF(A237&lt;=duree_credit*12,H236,0)</f>
        <v/>
      </c>
      <c r="D237" s="41">
        <f>IF(A237&lt;=duree_credit*12,C237*taux_credit/12,0)</f>
        <v/>
      </c>
      <c r="E237" s="41">
        <f>IF(A237&lt;=duree_credit*12,assurance_mens,0)</f>
        <v/>
      </c>
      <c r="F237" s="41">
        <f>IF(A237&lt;=duree_credit*12,mensualite_ha-D237,0)</f>
        <v/>
      </c>
      <c r="G237" s="41">
        <f>IF(A237&lt;=duree_credit*12,mensualite_ha+E237,0)</f>
        <v/>
      </c>
      <c r="H237" s="41">
        <f>C237-F237</f>
        <v/>
      </c>
    </row>
    <row r="238">
      <c r="A238" s="37" t="n">
        <v>235</v>
      </c>
      <c r="B238" s="37">
        <f>ROUNDUP(A238/12,0)</f>
        <v/>
      </c>
      <c r="C238" s="38">
        <f>IF(A238&lt;=duree_credit*12,H237,0)</f>
        <v/>
      </c>
      <c r="D238" s="38">
        <f>IF(A238&lt;=duree_credit*12,C238*taux_credit/12,0)</f>
        <v/>
      </c>
      <c r="E238" s="38">
        <f>IF(A238&lt;=duree_credit*12,assurance_mens,0)</f>
        <v/>
      </c>
      <c r="F238" s="38">
        <f>IF(A238&lt;=duree_credit*12,mensualite_ha-D238,0)</f>
        <v/>
      </c>
      <c r="G238" s="38">
        <f>IF(A238&lt;=duree_credit*12,mensualite_ha+E238,0)</f>
        <v/>
      </c>
      <c r="H238" s="38">
        <f>C238-F238</f>
        <v/>
      </c>
    </row>
    <row r="239">
      <c r="A239" s="40" t="n">
        <v>236</v>
      </c>
      <c r="B239" s="40">
        <f>ROUNDUP(A239/12,0)</f>
        <v/>
      </c>
      <c r="C239" s="41">
        <f>IF(A239&lt;=duree_credit*12,H238,0)</f>
        <v/>
      </c>
      <c r="D239" s="41">
        <f>IF(A239&lt;=duree_credit*12,C239*taux_credit/12,0)</f>
        <v/>
      </c>
      <c r="E239" s="41">
        <f>IF(A239&lt;=duree_credit*12,assurance_mens,0)</f>
        <v/>
      </c>
      <c r="F239" s="41">
        <f>IF(A239&lt;=duree_credit*12,mensualite_ha-D239,0)</f>
        <v/>
      </c>
      <c r="G239" s="41">
        <f>IF(A239&lt;=duree_credit*12,mensualite_ha+E239,0)</f>
        <v/>
      </c>
      <c r="H239" s="41">
        <f>C239-F239</f>
        <v/>
      </c>
    </row>
    <row r="240">
      <c r="A240" s="37" t="n">
        <v>237</v>
      </c>
      <c r="B240" s="37">
        <f>ROUNDUP(A240/12,0)</f>
        <v/>
      </c>
      <c r="C240" s="38">
        <f>IF(A240&lt;=duree_credit*12,H239,0)</f>
        <v/>
      </c>
      <c r="D240" s="38">
        <f>IF(A240&lt;=duree_credit*12,C240*taux_credit/12,0)</f>
        <v/>
      </c>
      <c r="E240" s="38">
        <f>IF(A240&lt;=duree_credit*12,assurance_mens,0)</f>
        <v/>
      </c>
      <c r="F240" s="38">
        <f>IF(A240&lt;=duree_credit*12,mensualite_ha-D240,0)</f>
        <v/>
      </c>
      <c r="G240" s="38">
        <f>IF(A240&lt;=duree_credit*12,mensualite_ha+E240,0)</f>
        <v/>
      </c>
      <c r="H240" s="38">
        <f>C240-F240</f>
        <v/>
      </c>
    </row>
    <row r="241">
      <c r="A241" s="40" t="n">
        <v>238</v>
      </c>
      <c r="B241" s="40">
        <f>ROUNDUP(A241/12,0)</f>
        <v/>
      </c>
      <c r="C241" s="41">
        <f>IF(A241&lt;=duree_credit*12,H240,0)</f>
        <v/>
      </c>
      <c r="D241" s="41">
        <f>IF(A241&lt;=duree_credit*12,C241*taux_credit/12,0)</f>
        <v/>
      </c>
      <c r="E241" s="41">
        <f>IF(A241&lt;=duree_credit*12,assurance_mens,0)</f>
        <v/>
      </c>
      <c r="F241" s="41">
        <f>IF(A241&lt;=duree_credit*12,mensualite_ha-D241,0)</f>
        <v/>
      </c>
      <c r="G241" s="41">
        <f>IF(A241&lt;=duree_credit*12,mensualite_ha+E241,0)</f>
        <v/>
      </c>
      <c r="H241" s="41">
        <f>C241-F241</f>
        <v/>
      </c>
    </row>
    <row r="242">
      <c r="A242" s="37" t="n">
        <v>239</v>
      </c>
      <c r="B242" s="37">
        <f>ROUNDUP(A242/12,0)</f>
        <v/>
      </c>
      <c r="C242" s="38">
        <f>IF(A242&lt;=duree_credit*12,H241,0)</f>
        <v/>
      </c>
      <c r="D242" s="38">
        <f>IF(A242&lt;=duree_credit*12,C242*taux_credit/12,0)</f>
        <v/>
      </c>
      <c r="E242" s="38">
        <f>IF(A242&lt;=duree_credit*12,assurance_mens,0)</f>
        <v/>
      </c>
      <c r="F242" s="38">
        <f>IF(A242&lt;=duree_credit*12,mensualite_ha-D242,0)</f>
        <v/>
      </c>
      <c r="G242" s="38">
        <f>IF(A242&lt;=duree_credit*12,mensualite_ha+E242,0)</f>
        <v/>
      </c>
      <c r="H242" s="38">
        <f>C242-F242</f>
        <v/>
      </c>
    </row>
    <row r="243">
      <c r="A243" s="40" t="n">
        <v>240</v>
      </c>
      <c r="B243" s="40">
        <f>ROUNDUP(A243/12,0)</f>
        <v/>
      </c>
      <c r="C243" s="41">
        <f>IF(A243&lt;=duree_credit*12,H242,0)</f>
        <v/>
      </c>
      <c r="D243" s="41">
        <f>IF(A243&lt;=duree_credit*12,C243*taux_credit/12,0)</f>
        <v/>
      </c>
      <c r="E243" s="41">
        <f>IF(A243&lt;=duree_credit*12,assurance_mens,0)</f>
        <v/>
      </c>
      <c r="F243" s="41">
        <f>IF(A243&lt;=duree_credit*12,mensualite_ha-D243,0)</f>
        <v/>
      </c>
      <c r="G243" s="41">
        <f>IF(A243&lt;=duree_credit*12,mensualite_ha+E243,0)</f>
        <v/>
      </c>
      <c r="H243" s="41">
        <f>C243-F243</f>
        <v/>
      </c>
    </row>
    <row r="244">
      <c r="A244" s="37" t="n">
        <v>241</v>
      </c>
      <c r="B244" s="37">
        <f>ROUNDUP(A244/12,0)</f>
        <v/>
      </c>
      <c r="C244" s="38">
        <f>IF(A244&lt;=duree_credit*12,H243,0)</f>
        <v/>
      </c>
      <c r="D244" s="38">
        <f>IF(A244&lt;=duree_credit*12,C244*taux_credit/12,0)</f>
        <v/>
      </c>
      <c r="E244" s="38">
        <f>IF(A244&lt;=duree_credit*12,assurance_mens,0)</f>
        <v/>
      </c>
      <c r="F244" s="38">
        <f>IF(A244&lt;=duree_credit*12,mensualite_ha-D244,0)</f>
        <v/>
      </c>
      <c r="G244" s="38">
        <f>IF(A244&lt;=duree_credit*12,mensualite_ha+E244,0)</f>
        <v/>
      </c>
      <c r="H244" s="38">
        <f>C244-F244</f>
        <v/>
      </c>
    </row>
    <row r="245">
      <c r="A245" s="40" t="n">
        <v>242</v>
      </c>
      <c r="B245" s="40">
        <f>ROUNDUP(A245/12,0)</f>
        <v/>
      </c>
      <c r="C245" s="41">
        <f>IF(A245&lt;=duree_credit*12,H244,0)</f>
        <v/>
      </c>
      <c r="D245" s="41">
        <f>IF(A245&lt;=duree_credit*12,C245*taux_credit/12,0)</f>
        <v/>
      </c>
      <c r="E245" s="41">
        <f>IF(A245&lt;=duree_credit*12,assurance_mens,0)</f>
        <v/>
      </c>
      <c r="F245" s="41">
        <f>IF(A245&lt;=duree_credit*12,mensualite_ha-D245,0)</f>
        <v/>
      </c>
      <c r="G245" s="41">
        <f>IF(A245&lt;=duree_credit*12,mensualite_ha+E245,0)</f>
        <v/>
      </c>
      <c r="H245" s="41">
        <f>C245-F245</f>
        <v/>
      </c>
    </row>
    <row r="246">
      <c r="A246" s="37" t="n">
        <v>243</v>
      </c>
      <c r="B246" s="37">
        <f>ROUNDUP(A246/12,0)</f>
        <v/>
      </c>
      <c r="C246" s="38">
        <f>IF(A246&lt;=duree_credit*12,H245,0)</f>
        <v/>
      </c>
      <c r="D246" s="38">
        <f>IF(A246&lt;=duree_credit*12,C246*taux_credit/12,0)</f>
        <v/>
      </c>
      <c r="E246" s="38">
        <f>IF(A246&lt;=duree_credit*12,assurance_mens,0)</f>
        <v/>
      </c>
      <c r="F246" s="38">
        <f>IF(A246&lt;=duree_credit*12,mensualite_ha-D246,0)</f>
        <v/>
      </c>
      <c r="G246" s="38">
        <f>IF(A246&lt;=duree_credit*12,mensualite_ha+E246,0)</f>
        <v/>
      </c>
      <c r="H246" s="38">
        <f>C246-F246</f>
        <v/>
      </c>
    </row>
    <row r="247">
      <c r="A247" s="40" t="n">
        <v>244</v>
      </c>
      <c r="B247" s="40">
        <f>ROUNDUP(A247/12,0)</f>
        <v/>
      </c>
      <c r="C247" s="41">
        <f>IF(A247&lt;=duree_credit*12,H246,0)</f>
        <v/>
      </c>
      <c r="D247" s="41">
        <f>IF(A247&lt;=duree_credit*12,C247*taux_credit/12,0)</f>
        <v/>
      </c>
      <c r="E247" s="41">
        <f>IF(A247&lt;=duree_credit*12,assurance_mens,0)</f>
        <v/>
      </c>
      <c r="F247" s="41">
        <f>IF(A247&lt;=duree_credit*12,mensualite_ha-D247,0)</f>
        <v/>
      </c>
      <c r="G247" s="41">
        <f>IF(A247&lt;=duree_credit*12,mensualite_ha+E247,0)</f>
        <v/>
      </c>
      <c r="H247" s="41">
        <f>C247-F247</f>
        <v/>
      </c>
    </row>
    <row r="248">
      <c r="A248" s="37" t="n">
        <v>245</v>
      </c>
      <c r="B248" s="37">
        <f>ROUNDUP(A248/12,0)</f>
        <v/>
      </c>
      <c r="C248" s="38">
        <f>IF(A248&lt;=duree_credit*12,H247,0)</f>
        <v/>
      </c>
      <c r="D248" s="38">
        <f>IF(A248&lt;=duree_credit*12,C248*taux_credit/12,0)</f>
        <v/>
      </c>
      <c r="E248" s="38">
        <f>IF(A248&lt;=duree_credit*12,assurance_mens,0)</f>
        <v/>
      </c>
      <c r="F248" s="38">
        <f>IF(A248&lt;=duree_credit*12,mensualite_ha-D248,0)</f>
        <v/>
      </c>
      <c r="G248" s="38">
        <f>IF(A248&lt;=duree_credit*12,mensualite_ha+E248,0)</f>
        <v/>
      </c>
      <c r="H248" s="38">
        <f>C248-F248</f>
        <v/>
      </c>
    </row>
    <row r="249">
      <c r="A249" s="40" t="n">
        <v>246</v>
      </c>
      <c r="B249" s="40">
        <f>ROUNDUP(A249/12,0)</f>
        <v/>
      </c>
      <c r="C249" s="41">
        <f>IF(A249&lt;=duree_credit*12,H248,0)</f>
        <v/>
      </c>
      <c r="D249" s="41">
        <f>IF(A249&lt;=duree_credit*12,C249*taux_credit/12,0)</f>
        <v/>
      </c>
      <c r="E249" s="41">
        <f>IF(A249&lt;=duree_credit*12,assurance_mens,0)</f>
        <v/>
      </c>
      <c r="F249" s="41">
        <f>IF(A249&lt;=duree_credit*12,mensualite_ha-D249,0)</f>
        <v/>
      </c>
      <c r="G249" s="41">
        <f>IF(A249&lt;=duree_credit*12,mensualite_ha+E249,0)</f>
        <v/>
      </c>
      <c r="H249" s="41">
        <f>C249-F249</f>
        <v/>
      </c>
    </row>
    <row r="250">
      <c r="A250" s="37" t="n">
        <v>247</v>
      </c>
      <c r="B250" s="37">
        <f>ROUNDUP(A250/12,0)</f>
        <v/>
      </c>
      <c r="C250" s="38">
        <f>IF(A250&lt;=duree_credit*12,H249,0)</f>
        <v/>
      </c>
      <c r="D250" s="38">
        <f>IF(A250&lt;=duree_credit*12,C250*taux_credit/12,0)</f>
        <v/>
      </c>
      <c r="E250" s="38">
        <f>IF(A250&lt;=duree_credit*12,assurance_mens,0)</f>
        <v/>
      </c>
      <c r="F250" s="38">
        <f>IF(A250&lt;=duree_credit*12,mensualite_ha-D250,0)</f>
        <v/>
      </c>
      <c r="G250" s="38">
        <f>IF(A250&lt;=duree_credit*12,mensualite_ha+E250,0)</f>
        <v/>
      </c>
      <c r="H250" s="38">
        <f>C250-F250</f>
        <v/>
      </c>
    </row>
    <row r="251">
      <c r="A251" s="40" t="n">
        <v>248</v>
      </c>
      <c r="B251" s="40">
        <f>ROUNDUP(A251/12,0)</f>
        <v/>
      </c>
      <c r="C251" s="41">
        <f>IF(A251&lt;=duree_credit*12,H250,0)</f>
        <v/>
      </c>
      <c r="D251" s="41">
        <f>IF(A251&lt;=duree_credit*12,C251*taux_credit/12,0)</f>
        <v/>
      </c>
      <c r="E251" s="41">
        <f>IF(A251&lt;=duree_credit*12,assurance_mens,0)</f>
        <v/>
      </c>
      <c r="F251" s="41">
        <f>IF(A251&lt;=duree_credit*12,mensualite_ha-D251,0)</f>
        <v/>
      </c>
      <c r="G251" s="41">
        <f>IF(A251&lt;=duree_credit*12,mensualite_ha+E251,0)</f>
        <v/>
      </c>
      <c r="H251" s="41">
        <f>C251-F251</f>
        <v/>
      </c>
    </row>
    <row r="252">
      <c r="A252" s="37" t="n">
        <v>249</v>
      </c>
      <c r="B252" s="37">
        <f>ROUNDUP(A252/12,0)</f>
        <v/>
      </c>
      <c r="C252" s="38">
        <f>IF(A252&lt;=duree_credit*12,H251,0)</f>
        <v/>
      </c>
      <c r="D252" s="38">
        <f>IF(A252&lt;=duree_credit*12,C252*taux_credit/12,0)</f>
        <v/>
      </c>
      <c r="E252" s="38">
        <f>IF(A252&lt;=duree_credit*12,assurance_mens,0)</f>
        <v/>
      </c>
      <c r="F252" s="38">
        <f>IF(A252&lt;=duree_credit*12,mensualite_ha-D252,0)</f>
        <v/>
      </c>
      <c r="G252" s="38">
        <f>IF(A252&lt;=duree_credit*12,mensualite_ha+E252,0)</f>
        <v/>
      </c>
      <c r="H252" s="38">
        <f>C252-F252</f>
        <v/>
      </c>
    </row>
    <row r="253">
      <c r="A253" s="40" t="n">
        <v>250</v>
      </c>
      <c r="B253" s="40">
        <f>ROUNDUP(A253/12,0)</f>
        <v/>
      </c>
      <c r="C253" s="41">
        <f>IF(A253&lt;=duree_credit*12,H252,0)</f>
        <v/>
      </c>
      <c r="D253" s="41">
        <f>IF(A253&lt;=duree_credit*12,C253*taux_credit/12,0)</f>
        <v/>
      </c>
      <c r="E253" s="41">
        <f>IF(A253&lt;=duree_credit*12,assurance_mens,0)</f>
        <v/>
      </c>
      <c r="F253" s="41">
        <f>IF(A253&lt;=duree_credit*12,mensualite_ha-D253,0)</f>
        <v/>
      </c>
      <c r="G253" s="41">
        <f>IF(A253&lt;=duree_credit*12,mensualite_ha+E253,0)</f>
        <v/>
      </c>
      <c r="H253" s="41">
        <f>C253-F253</f>
        <v/>
      </c>
    </row>
    <row r="254">
      <c r="A254" s="37" t="n">
        <v>251</v>
      </c>
      <c r="B254" s="37">
        <f>ROUNDUP(A254/12,0)</f>
        <v/>
      </c>
      <c r="C254" s="38">
        <f>IF(A254&lt;=duree_credit*12,H253,0)</f>
        <v/>
      </c>
      <c r="D254" s="38">
        <f>IF(A254&lt;=duree_credit*12,C254*taux_credit/12,0)</f>
        <v/>
      </c>
      <c r="E254" s="38">
        <f>IF(A254&lt;=duree_credit*12,assurance_mens,0)</f>
        <v/>
      </c>
      <c r="F254" s="38">
        <f>IF(A254&lt;=duree_credit*12,mensualite_ha-D254,0)</f>
        <v/>
      </c>
      <c r="G254" s="38">
        <f>IF(A254&lt;=duree_credit*12,mensualite_ha+E254,0)</f>
        <v/>
      </c>
      <c r="H254" s="38">
        <f>C254-F254</f>
        <v/>
      </c>
    </row>
    <row r="255">
      <c r="A255" s="40" t="n">
        <v>252</v>
      </c>
      <c r="B255" s="40">
        <f>ROUNDUP(A255/12,0)</f>
        <v/>
      </c>
      <c r="C255" s="41">
        <f>IF(A255&lt;=duree_credit*12,H254,0)</f>
        <v/>
      </c>
      <c r="D255" s="41">
        <f>IF(A255&lt;=duree_credit*12,C255*taux_credit/12,0)</f>
        <v/>
      </c>
      <c r="E255" s="41">
        <f>IF(A255&lt;=duree_credit*12,assurance_mens,0)</f>
        <v/>
      </c>
      <c r="F255" s="41">
        <f>IF(A255&lt;=duree_credit*12,mensualite_ha-D255,0)</f>
        <v/>
      </c>
      <c r="G255" s="41">
        <f>IF(A255&lt;=duree_credit*12,mensualite_ha+E255,0)</f>
        <v/>
      </c>
      <c r="H255" s="41">
        <f>C255-F255</f>
        <v/>
      </c>
    </row>
    <row r="256">
      <c r="A256" s="37" t="n">
        <v>253</v>
      </c>
      <c r="B256" s="37">
        <f>ROUNDUP(A256/12,0)</f>
        <v/>
      </c>
      <c r="C256" s="38">
        <f>IF(A256&lt;=duree_credit*12,H255,0)</f>
        <v/>
      </c>
      <c r="D256" s="38">
        <f>IF(A256&lt;=duree_credit*12,C256*taux_credit/12,0)</f>
        <v/>
      </c>
      <c r="E256" s="38">
        <f>IF(A256&lt;=duree_credit*12,assurance_mens,0)</f>
        <v/>
      </c>
      <c r="F256" s="38">
        <f>IF(A256&lt;=duree_credit*12,mensualite_ha-D256,0)</f>
        <v/>
      </c>
      <c r="G256" s="38">
        <f>IF(A256&lt;=duree_credit*12,mensualite_ha+E256,0)</f>
        <v/>
      </c>
      <c r="H256" s="38">
        <f>C256-F256</f>
        <v/>
      </c>
    </row>
    <row r="257">
      <c r="A257" s="40" t="n">
        <v>254</v>
      </c>
      <c r="B257" s="40">
        <f>ROUNDUP(A257/12,0)</f>
        <v/>
      </c>
      <c r="C257" s="41">
        <f>IF(A257&lt;=duree_credit*12,H256,0)</f>
        <v/>
      </c>
      <c r="D257" s="41">
        <f>IF(A257&lt;=duree_credit*12,C257*taux_credit/12,0)</f>
        <v/>
      </c>
      <c r="E257" s="41">
        <f>IF(A257&lt;=duree_credit*12,assurance_mens,0)</f>
        <v/>
      </c>
      <c r="F257" s="41">
        <f>IF(A257&lt;=duree_credit*12,mensualite_ha-D257,0)</f>
        <v/>
      </c>
      <c r="G257" s="41">
        <f>IF(A257&lt;=duree_credit*12,mensualite_ha+E257,0)</f>
        <v/>
      </c>
      <c r="H257" s="41">
        <f>C257-F257</f>
        <v/>
      </c>
    </row>
    <row r="258">
      <c r="A258" s="37" t="n">
        <v>255</v>
      </c>
      <c r="B258" s="37">
        <f>ROUNDUP(A258/12,0)</f>
        <v/>
      </c>
      <c r="C258" s="38">
        <f>IF(A258&lt;=duree_credit*12,H257,0)</f>
        <v/>
      </c>
      <c r="D258" s="38">
        <f>IF(A258&lt;=duree_credit*12,C258*taux_credit/12,0)</f>
        <v/>
      </c>
      <c r="E258" s="38">
        <f>IF(A258&lt;=duree_credit*12,assurance_mens,0)</f>
        <v/>
      </c>
      <c r="F258" s="38">
        <f>IF(A258&lt;=duree_credit*12,mensualite_ha-D258,0)</f>
        <v/>
      </c>
      <c r="G258" s="38">
        <f>IF(A258&lt;=duree_credit*12,mensualite_ha+E258,0)</f>
        <v/>
      </c>
      <c r="H258" s="38">
        <f>C258-F258</f>
        <v/>
      </c>
    </row>
    <row r="259">
      <c r="A259" s="40" t="n">
        <v>256</v>
      </c>
      <c r="B259" s="40">
        <f>ROUNDUP(A259/12,0)</f>
        <v/>
      </c>
      <c r="C259" s="41">
        <f>IF(A259&lt;=duree_credit*12,H258,0)</f>
        <v/>
      </c>
      <c r="D259" s="41">
        <f>IF(A259&lt;=duree_credit*12,C259*taux_credit/12,0)</f>
        <v/>
      </c>
      <c r="E259" s="41">
        <f>IF(A259&lt;=duree_credit*12,assurance_mens,0)</f>
        <v/>
      </c>
      <c r="F259" s="41">
        <f>IF(A259&lt;=duree_credit*12,mensualite_ha-D259,0)</f>
        <v/>
      </c>
      <c r="G259" s="41">
        <f>IF(A259&lt;=duree_credit*12,mensualite_ha+E259,0)</f>
        <v/>
      </c>
      <c r="H259" s="41">
        <f>C259-F259</f>
        <v/>
      </c>
    </row>
    <row r="260">
      <c r="A260" s="37" t="n">
        <v>257</v>
      </c>
      <c r="B260" s="37">
        <f>ROUNDUP(A260/12,0)</f>
        <v/>
      </c>
      <c r="C260" s="38">
        <f>IF(A260&lt;=duree_credit*12,H259,0)</f>
        <v/>
      </c>
      <c r="D260" s="38">
        <f>IF(A260&lt;=duree_credit*12,C260*taux_credit/12,0)</f>
        <v/>
      </c>
      <c r="E260" s="38">
        <f>IF(A260&lt;=duree_credit*12,assurance_mens,0)</f>
        <v/>
      </c>
      <c r="F260" s="38">
        <f>IF(A260&lt;=duree_credit*12,mensualite_ha-D260,0)</f>
        <v/>
      </c>
      <c r="G260" s="38">
        <f>IF(A260&lt;=duree_credit*12,mensualite_ha+E260,0)</f>
        <v/>
      </c>
      <c r="H260" s="38">
        <f>C260-F260</f>
        <v/>
      </c>
    </row>
    <row r="261">
      <c r="A261" s="40" t="n">
        <v>258</v>
      </c>
      <c r="B261" s="40">
        <f>ROUNDUP(A261/12,0)</f>
        <v/>
      </c>
      <c r="C261" s="41">
        <f>IF(A261&lt;=duree_credit*12,H260,0)</f>
        <v/>
      </c>
      <c r="D261" s="41">
        <f>IF(A261&lt;=duree_credit*12,C261*taux_credit/12,0)</f>
        <v/>
      </c>
      <c r="E261" s="41">
        <f>IF(A261&lt;=duree_credit*12,assurance_mens,0)</f>
        <v/>
      </c>
      <c r="F261" s="41">
        <f>IF(A261&lt;=duree_credit*12,mensualite_ha-D261,0)</f>
        <v/>
      </c>
      <c r="G261" s="41">
        <f>IF(A261&lt;=duree_credit*12,mensualite_ha+E261,0)</f>
        <v/>
      </c>
      <c r="H261" s="41">
        <f>C261-F261</f>
        <v/>
      </c>
    </row>
    <row r="262">
      <c r="A262" s="37" t="n">
        <v>259</v>
      </c>
      <c r="B262" s="37">
        <f>ROUNDUP(A262/12,0)</f>
        <v/>
      </c>
      <c r="C262" s="38">
        <f>IF(A262&lt;=duree_credit*12,H261,0)</f>
        <v/>
      </c>
      <c r="D262" s="38">
        <f>IF(A262&lt;=duree_credit*12,C262*taux_credit/12,0)</f>
        <v/>
      </c>
      <c r="E262" s="38">
        <f>IF(A262&lt;=duree_credit*12,assurance_mens,0)</f>
        <v/>
      </c>
      <c r="F262" s="38">
        <f>IF(A262&lt;=duree_credit*12,mensualite_ha-D262,0)</f>
        <v/>
      </c>
      <c r="G262" s="38">
        <f>IF(A262&lt;=duree_credit*12,mensualite_ha+E262,0)</f>
        <v/>
      </c>
      <c r="H262" s="38">
        <f>C262-F262</f>
        <v/>
      </c>
    </row>
    <row r="263">
      <c r="A263" s="40" t="n">
        <v>260</v>
      </c>
      <c r="B263" s="40">
        <f>ROUNDUP(A263/12,0)</f>
        <v/>
      </c>
      <c r="C263" s="41">
        <f>IF(A263&lt;=duree_credit*12,H262,0)</f>
        <v/>
      </c>
      <c r="D263" s="41">
        <f>IF(A263&lt;=duree_credit*12,C263*taux_credit/12,0)</f>
        <v/>
      </c>
      <c r="E263" s="41">
        <f>IF(A263&lt;=duree_credit*12,assurance_mens,0)</f>
        <v/>
      </c>
      <c r="F263" s="41">
        <f>IF(A263&lt;=duree_credit*12,mensualite_ha-D263,0)</f>
        <v/>
      </c>
      <c r="G263" s="41">
        <f>IF(A263&lt;=duree_credit*12,mensualite_ha+E263,0)</f>
        <v/>
      </c>
      <c r="H263" s="41">
        <f>C263-F263</f>
        <v/>
      </c>
    </row>
    <row r="264">
      <c r="A264" s="37" t="n">
        <v>261</v>
      </c>
      <c r="B264" s="37">
        <f>ROUNDUP(A264/12,0)</f>
        <v/>
      </c>
      <c r="C264" s="38">
        <f>IF(A264&lt;=duree_credit*12,H263,0)</f>
        <v/>
      </c>
      <c r="D264" s="38">
        <f>IF(A264&lt;=duree_credit*12,C264*taux_credit/12,0)</f>
        <v/>
      </c>
      <c r="E264" s="38">
        <f>IF(A264&lt;=duree_credit*12,assurance_mens,0)</f>
        <v/>
      </c>
      <c r="F264" s="38">
        <f>IF(A264&lt;=duree_credit*12,mensualite_ha-D264,0)</f>
        <v/>
      </c>
      <c r="G264" s="38">
        <f>IF(A264&lt;=duree_credit*12,mensualite_ha+E264,0)</f>
        <v/>
      </c>
      <c r="H264" s="38">
        <f>C264-F264</f>
        <v/>
      </c>
    </row>
    <row r="265">
      <c r="A265" s="40" t="n">
        <v>262</v>
      </c>
      <c r="B265" s="40">
        <f>ROUNDUP(A265/12,0)</f>
        <v/>
      </c>
      <c r="C265" s="41">
        <f>IF(A265&lt;=duree_credit*12,H264,0)</f>
        <v/>
      </c>
      <c r="D265" s="41">
        <f>IF(A265&lt;=duree_credit*12,C265*taux_credit/12,0)</f>
        <v/>
      </c>
      <c r="E265" s="41">
        <f>IF(A265&lt;=duree_credit*12,assurance_mens,0)</f>
        <v/>
      </c>
      <c r="F265" s="41">
        <f>IF(A265&lt;=duree_credit*12,mensualite_ha-D265,0)</f>
        <v/>
      </c>
      <c r="G265" s="41">
        <f>IF(A265&lt;=duree_credit*12,mensualite_ha+E265,0)</f>
        <v/>
      </c>
      <c r="H265" s="41">
        <f>C265-F265</f>
        <v/>
      </c>
    </row>
    <row r="266">
      <c r="A266" s="37" t="n">
        <v>263</v>
      </c>
      <c r="B266" s="37">
        <f>ROUNDUP(A266/12,0)</f>
        <v/>
      </c>
      <c r="C266" s="38">
        <f>IF(A266&lt;=duree_credit*12,H265,0)</f>
        <v/>
      </c>
      <c r="D266" s="38">
        <f>IF(A266&lt;=duree_credit*12,C266*taux_credit/12,0)</f>
        <v/>
      </c>
      <c r="E266" s="38">
        <f>IF(A266&lt;=duree_credit*12,assurance_mens,0)</f>
        <v/>
      </c>
      <c r="F266" s="38">
        <f>IF(A266&lt;=duree_credit*12,mensualite_ha-D266,0)</f>
        <v/>
      </c>
      <c r="G266" s="38">
        <f>IF(A266&lt;=duree_credit*12,mensualite_ha+E266,0)</f>
        <v/>
      </c>
      <c r="H266" s="38">
        <f>C266-F266</f>
        <v/>
      </c>
    </row>
    <row r="267">
      <c r="A267" s="40" t="n">
        <v>264</v>
      </c>
      <c r="B267" s="40">
        <f>ROUNDUP(A267/12,0)</f>
        <v/>
      </c>
      <c r="C267" s="41">
        <f>IF(A267&lt;=duree_credit*12,H266,0)</f>
        <v/>
      </c>
      <c r="D267" s="41">
        <f>IF(A267&lt;=duree_credit*12,C267*taux_credit/12,0)</f>
        <v/>
      </c>
      <c r="E267" s="41">
        <f>IF(A267&lt;=duree_credit*12,assurance_mens,0)</f>
        <v/>
      </c>
      <c r="F267" s="41">
        <f>IF(A267&lt;=duree_credit*12,mensualite_ha-D267,0)</f>
        <v/>
      </c>
      <c r="G267" s="41">
        <f>IF(A267&lt;=duree_credit*12,mensualite_ha+E267,0)</f>
        <v/>
      </c>
      <c r="H267" s="41">
        <f>C267-F267</f>
        <v/>
      </c>
    </row>
    <row r="268">
      <c r="A268" s="37" t="n">
        <v>265</v>
      </c>
      <c r="B268" s="37">
        <f>ROUNDUP(A268/12,0)</f>
        <v/>
      </c>
      <c r="C268" s="38">
        <f>IF(A268&lt;=duree_credit*12,H267,0)</f>
        <v/>
      </c>
      <c r="D268" s="38">
        <f>IF(A268&lt;=duree_credit*12,C268*taux_credit/12,0)</f>
        <v/>
      </c>
      <c r="E268" s="38">
        <f>IF(A268&lt;=duree_credit*12,assurance_mens,0)</f>
        <v/>
      </c>
      <c r="F268" s="38">
        <f>IF(A268&lt;=duree_credit*12,mensualite_ha-D268,0)</f>
        <v/>
      </c>
      <c r="G268" s="38">
        <f>IF(A268&lt;=duree_credit*12,mensualite_ha+E268,0)</f>
        <v/>
      </c>
      <c r="H268" s="38">
        <f>C268-F268</f>
        <v/>
      </c>
    </row>
    <row r="269">
      <c r="A269" s="40" t="n">
        <v>266</v>
      </c>
      <c r="B269" s="40">
        <f>ROUNDUP(A269/12,0)</f>
        <v/>
      </c>
      <c r="C269" s="41">
        <f>IF(A269&lt;=duree_credit*12,H268,0)</f>
        <v/>
      </c>
      <c r="D269" s="41">
        <f>IF(A269&lt;=duree_credit*12,C269*taux_credit/12,0)</f>
        <v/>
      </c>
      <c r="E269" s="41">
        <f>IF(A269&lt;=duree_credit*12,assurance_mens,0)</f>
        <v/>
      </c>
      <c r="F269" s="41">
        <f>IF(A269&lt;=duree_credit*12,mensualite_ha-D269,0)</f>
        <v/>
      </c>
      <c r="G269" s="41">
        <f>IF(A269&lt;=duree_credit*12,mensualite_ha+E269,0)</f>
        <v/>
      </c>
      <c r="H269" s="41">
        <f>C269-F269</f>
        <v/>
      </c>
    </row>
    <row r="270">
      <c r="A270" s="37" t="n">
        <v>267</v>
      </c>
      <c r="B270" s="37">
        <f>ROUNDUP(A270/12,0)</f>
        <v/>
      </c>
      <c r="C270" s="38">
        <f>IF(A270&lt;=duree_credit*12,H269,0)</f>
        <v/>
      </c>
      <c r="D270" s="38">
        <f>IF(A270&lt;=duree_credit*12,C270*taux_credit/12,0)</f>
        <v/>
      </c>
      <c r="E270" s="38">
        <f>IF(A270&lt;=duree_credit*12,assurance_mens,0)</f>
        <v/>
      </c>
      <c r="F270" s="38">
        <f>IF(A270&lt;=duree_credit*12,mensualite_ha-D270,0)</f>
        <v/>
      </c>
      <c r="G270" s="38">
        <f>IF(A270&lt;=duree_credit*12,mensualite_ha+E270,0)</f>
        <v/>
      </c>
      <c r="H270" s="38">
        <f>C270-F270</f>
        <v/>
      </c>
    </row>
    <row r="271">
      <c r="A271" s="40" t="n">
        <v>268</v>
      </c>
      <c r="B271" s="40">
        <f>ROUNDUP(A271/12,0)</f>
        <v/>
      </c>
      <c r="C271" s="41">
        <f>IF(A271&lt;=duree_credit*12,H270,0)</f>
        <v/>
      </c>
      <c r="D271" s="41">
        <f>IF(A271&lt;=duree_credit*12,C271*taux_credit/12,0)</f>
        <v/>
      </c>
      <c r="E271" s="41">
        <f>IF(A271&lt;=duree_credit*12,assurance_mens,0)</f>
        <v/>
      </c>
      <c r="F271" s="41">
        <f>IF(A271&lt;=duree_credit*12,mensualite_ha-D271,0)</f>
        <v/>
      </c>
      <c r="G271" s="41">
        <f>IF(A271&lt;=duree_credit*12,mensualite_ha+E271,0)</f>
        <v/>
      </c>
      <c r="H271" s="41">
        <f>C271-F271</f>
        <v/>
      </c>
    </row>
    <row r="272">
      <c r="A272" s="37" t="n">
        <v>269</v>
      </c>
      <c r="B272" s="37">
        <f>ROUNDUP(A272/12,0)</f>
        <v/>
      </c>
      <c r="C272" s="38">
        <f>IF(A272&lt;=duree_credit*12,H271,0)</f>
        <v/>
      </c>
      <c r="D272" s="38">
        <f>IF(A272&lt;=duree_credit*12,C272*taux_credit/12,0)</f>
        <v/>
      </c>
      <c r="E272" s="38">
        <f>IF(A272&lt;=duree_credit*12,assurance_mens,0)</f>
        <v/>
      </c>
      <c r="F272" s="38">
        <f>IF(A272&lt;=duree_credit*12,mensualite_ha-D272,0)</f>
        <v/>
      </c>
      <c r="G272" s="38">
        <f>IF(A272&lt;=duree_credit*12,mensualite_ha+E272,0)</f>
        <v/>
      </c>
      <c r="H272" s="38">
        <f>C272-F272</f>
        <v/>
      </c>
    </row>
    <row r="273">
      <c r="A273" s="40" t="n">
        <v>270</v>
      </c>
      <c r="B273" s="40">
        <f>ROUNDUP(A273/12,0)</f>
        <v/>
      </c>
      <c r="C273" s="41">
        <f>IF(A273&lt;=duree_credit*12,H272,0)</f>
        <v/>
      </c>
      <c r="D273" s="41">
        <f>IF(A273&lt;=duree_credit*12,C273*taux_credit/12,0)</f>
        <v/>
      </c>
      <c r="E273" s="41">
        <f>IF(A273&lt;=duree_credit*12,assurance_mens,0)</f>
        <v/>
      </c>
      <c r="F273" s="41">
        <f>IF(A273&lt;=duree_credit*12,mensualite_ha-D273,0)</f>
        <v/>
      </c>
      <c r="G273" s="41">
        <f>IF(A273&lt;=duree_credit*12,mensualite_ha+E273,0)</f>
        <v/>
      </c>
      <c r="H273" s="41">
        <f>C273-F273</f>
        <v/>
      </c>
    </row>
    <row r="274">
      <c r="A274" s="37" t="n">
        <v>271</v>
      </c>
      <c r="B274" s="37">
        <f>ROUNDUP(A274/12,0)</f>
        <v/>
      </c>
      <c r="C274" s="38">
        <f>IF(A274&lt;=duree_credit*12,H273,0)</f>
        <v/>
      </c>
      <c r="D274" s="38">
        <f>IF(A274&lt;=duree_credit*12,C274*taux_credit/12,0)</f>
        <v/>
      </c>
      <c r="E274" s="38">
        <f>IF(A274&lt;=duree_credit*12,assurance_mens,0)</f>
        <v/>
      </c>
      <c r="F274" s="38">
        <f>IF(A274&lt;=duree_credit*12,mensualite_ha-D274,0)</f>
        <v/>
      </c>
      <c r="G274" s="38">
        <f>IF(A274&lt;=duree_credit*12,mensualite_ha+E274,0)</f>
        <v/>
      </c>
      <c r="H274" s="38">
        <f>C274-F274</f>
        <v/>
      </c>
    </row>
    <row r="275">
      <c r="A275" s="40" t="n">
        <v>272</v>
      </c>
      <c r="B275" s="40">
        <f>ROUNDUP(A275/12,0)</f>
        <v/>
      </c>
      <c r="C275" s="41">
        <f>IF(A275&lt;=duree_credit*12,H274,0)</f>
        <v/>
      </c>
      <c r="D275" s="41">
        <f>IF(A275&lt;=duree_credit*12,C275*taux_credit/12,0)</f>
        <v/>
      </c>
      <c r="E275" s="41">
        <f>IF(A275&lt;=duree_credit*12,assurance_mens,0)</f>
        <v/>
      </c>
      <c r="F275" s="41">
        <f>IF(A275&lt;=duree_credit*12,mensualite_ha-D275,0)</f>
        <v/>
      </c>
      <c r="G275" s="41">
        <f>IF(A275&lt;=duree_credit*12,mensualite_ha+E275,0)</f>
        <v/>
      </c>
      <c r="H275" s="41">
        <f>C275-F275</f>
        <v/>
      </c>
    </row>
    <row r="276">
      <c r="A276" s="37" t="n">
        <v>273</v>
      </c>
      <c r="B276" s="37">
        <f>ROUNDUP(A276/12,0)</f>
        <v/>
      </c>
      <c r="C276" s="38">
        <f>IF(A276&lt;=duree_credit*12,H275,0)</f>
        <v/>
      </c>
      <c r="D276" s="38">
        <f>IF(A276&lt;=duree_credit*12,C276*taux_credit/12,0)</f>
        <v/>
      </c>
      <c r="E276" s="38">
        <f>IF(A276&lt;=duree_credit*12,assurance_mens,0)</f>
        <v/>
      </c>
      <c r="F276" s="38">
        <f>IF(A276&lt;=duree_credit*12,mensualite_ha-D276,0)</f>
        <v/>
      </c>
      <c r="G276" s="38">
        <f>IF(A276&lt;=duree_credit*12,mensualite_ha+E276,0)</f>
        <v/>
      </c>
      <c r="H276" s="38">
        <f>C276-F276</f>
        <v/>
      </c>
    </row>
    <row r="277">
      <c r="A277" s="40" t="n">
        <v>274</v>
      </c>
      <c r="B277" s="40">
        <f>ROUNDUP(A277/12,0)</f>
        <v/>
      </c>
      <c r="C277" s="41">
        <f>IF(A277&lt;=duree_credit*12,H276,0)</f>
        <v/>
      </c>
      <c r="D277" s="41">
        <f>IF(A277&lt;=duree_credit*12,C277*taux_credit/12,0)</f>
        <v/>
      </c>
      <c r="E277" s="41">
        <f>IF(A277&lt;=duree_credit*12,assurance_mens,0)</f>
        <v/>
      </c>
      <c r="F277" s="41">
        <f>IF(A277&lt;=duree_credit*12,mensualite_ha-D277,0)</f>
        <v/>
      </c>
      <c r="G277" s="41">
        <f>IF(A277&lt;=duree_credit*12,mensualite_ha+E277,0)</f>
        <v/>
      </c>
      <c r="H277" s="41">
        <f>C277-F277</f>
        <v/>
      </c>
    </row>
    <row r="278">
      <c r="A278" s="37" t="n">
        <v>275</v>
      </c>
      <c r="B278" s="37">
        <f>ROUNDUP(A278/12,0)</f>
        <v/>
      </c>
      <c r="C278" s="38">
        <f>IF(A278&lt;=duree_credit*12,H277,0)</f>
        <v/>
      </c>
      <c r="D278" s="38">
        <f>IF(A278&lt;=duree_credit*12,C278*taux_credit/12,0)</f>
        <v/>
      </c>
      <c r="E278" s="38">
        <f>IF(A278&lt;=duree_credit*12,assurance_mens,0)</f>
        <v/>
      </c>
      <c r="F278" s="38">
        <f>IF(A278&lt;=duree_credit*12,mensualite_ha-D278,0)</f>
        <v/>
      </c>
      <c r="G278" s="38">
        <f>IF(A278&lt;=duree_credit*12,mensualite_ha+E278,0)</f>
        <v/>
      </c>
      <c r="H278" s="38">
        <f>C278-F278</f>
        <v/>
      </c>
    </row>
    <row r="279">
      <c r="A279" s="40" t="n">
        <v>276</v>
      </c>
      <c r="B279" s="40">
        <f>ROUNDUP(A279/12,0)</f>
        <v/>
      </c>
      <c r="C279" s="41">
        <f>IF(A279&lt;=duree_credit*12,H278,0)</f>
        <v/>
      </c>
      <c r="D279" s="41">
        <f>IF(A279&lt;=duree_credit*12,C279*taux_credit/12,0)</f>
        <v/>
      </c>
      <c r="E279" s="41">
        <f>IF(A279&lt;=duree_credit*12,assurance_mens,0)</f>
        <v/>
      </c>
      <c r="F279" s="41">
        <f>IF(A279&lt;=duree_credit*12,mensualite_ha-D279,0)</f>
        <v/>
      </c>
      <c r="G279" s="41">
        <f>IF(A279&lt;=duree_credit*12,mensualite_ha+E279,0)</f>
        <v/>
      </c>
      <c r="H279" s="41">
        <f>C279-F279</f>
        <v/>
      </c>
    </row>
    <row r="280">
      <c r="A280" s="37" t="n">
        <v>277</v>
      </c>
      <c r="B280" s="37">
        <f>ROUNDUP(A280/12,0)</f>
        <v/>
      </c>
      <c r="C280" s="38">
        <f>IF(A280&lt;=duree_credit*12,H279,0)</f>
        <v/>
      </c>
      <c r="D280" s="38">
        <f>IF(A280&lt;=duree_credit*12,C280*taux_credit/12,0)</f>
        <v/>
      </c>
      <c r="E280" s="38">
        <f>IF(A280&lt;=duree_credit*12,assurance_mens,0)</f>
        <v/>
      </c>
      <c r="F280" s="38">
        <f>IF(A280&lt;=duree_credit*12,mensualite_ha-D280,0)</f>
        <v/>
      </c>
      <c r="G280" s="38">
        <f>IF(A280&lt;=duree_credit*12,mensualite_ha+E280,0)</f>
        <v/>
      </c>
      <c r="H280" s="38">
        <f>C280-F280</f>
        <v/>
      </c>
    </row>
    <row r="281">
      <c r="A281" s="40" t="n">
        <v>278</v>
      </c>
      <c r="B281" s="40">
        <f>ROUNDUP(A281/12,0)</f>
        <v/>
      </c>
      <c r="C281" s="41">
        <f>IF(A281&lt;=duree_credit*12,H280,0)</f>
        <v/>
      </c>
      <c r="D281" s="41">
        <f>IF(A281&lt;=duree_credit*12,C281*taux_credit/12,0)</f>
        <v/>
      </c>
      <c r="E281" s="41">
        <f>IF(A281&lt;=duree_credit*12,assurance_mens,0)</f>
        <v/>
      </c>
      <c r="F281" s="41">
        <f>IF(A281&lt;=duree_credit*12,mensualite_ha-D281,0)</f>
        <v/>
      </c>
      <c r="G281" s="41">
        <f>IF(A281&lt;=duree_credit*12,mensualite_ha+E281,0)</f>
        <v/>
      </c>
      <c r="H281" s="41">
        <f>C281-F281</f>
        <v/>
      </c>
    </row>
    <row r="282">
      <c r="A282" s="37" t="n">
        <v>279</v>
      </c>
      <c r="B282" s="37">
        <f>ROUNDUP(A282/12,0)</f>
        <v/>
      </c>
      <c r="C282" s="38">
        <f>IF(A282&lt;=duree_credit*12,H281,0)</f>
        <v/>
      </c>
      <c r="D282" s="38">
        <f>IF(A282&lt;=duree_credit*12,C282*taux_credit/12,0)</f>
        <v/>
      </c>
      <c r="E282" s="38">
        <f>IF(A282&lt;=duree_credit*12,assurance_mens,0)</f>
        <v/>
      </c>
      <c r="F282" s="38">
        <f>IF(A282&lt;=duree_credit*12,mensualite_ha-D282,0)</f>
        <v/>
      </c>
      <c r="G282" s="38">
        <f>IF(A282&lt;=duree_credit*12,mensualite_ha+E282,0)</f>
        <v/>
      </c>
      <c r="H282" s="38">
        <f>C282-F282</f>
        <v/>
      </c>
    </row>
    <row r="283">
      <c r="A283" s="40" t="n">
        <v>280</v>
      </c>
      <c r="B283" s="40">
        <f>ROUNDUP(A283/12,0)</f>
        <v/>
      </c>
      <c r="C283" s="41">
        <f>IF(A283&lt;=duree_credit*12,H282,0)</f>
        <v/>
      </c>
      <c r="D283" s="41">
        <f>IF(A283&lt;=duree_credit*12,C283*taux_credit/12,0)</f>
        <v/>
      </c>
      <c r="E283" s="41">
        <f>IF(A283&lt;=duree_credit*12,assurance_mens,0)</f>
        <v/>
      </c>
      <c r="F283" s="41">
        <f>IF(A283&lt;=duree_credit*12,mensualite_ha-D283,0)</f>
        <v/>
      </c>
      <c r="G283" s="41">
        <f>IF(A283&lt;=duree_credit*12,mensualite_ha+E283,0)</f>
        <v/>
      </c>
      <c r="H283" s="41">
        <f>C283-F283</f>
        <v/>
      </c>
    </row>
    <row r="284">
      <c r="A284" s="37" t="n">
        <v>281</v>
      </c>
      <c r="B284" s="37">
        <f>ROUNDUP(A284/12,0)</f>
        <v/>
      </c>
      <c r="C284" s="38">
        <f>IF(A284&lt;=duree_credit*12,H283,0)</f>
        <v/>
      </c>
      <c r="D284" s="38">
        <f>IF(A284&lt;=duree_credit*12,C284*taux_credit/12,0)</f>
        <v/>
      </c>
      <c r="E284" s="38">
        <f>IF(A284&lt;=duree_credit*12,assurance_mens,0)</f>
        <v/>
      </c>
      <c r="F284" s="38">
        <f>IF(A284&lt;=duree_credit*12,mensualite_ha-D284,0)</f>
        <v/>
      </c>
      <c r="G284" s="38">
        <f>IF(A284&lt;=duree_credit*12,mensualite_ha+E284,0)</f>
        <v/>
      </c>
      <c r="H284" s="38">
        <f>C284-F284</f>
        <v/>
      </c>
    </row>
    <row r="285">
      <c r="A285" s="40" t="n">
        <v>282</v>
      </c>
      <c r="B285" s="40">
        <f>ROUNDUP(A285/12,0)</f>
        <v/>
      </c>
      <c r="C285" s="41">
        <f>IF(A285&lt;=duree_credit*12,H284,0)</f>
        <v/>
      </c>
      <c r="D285" s="41">
        <f>IF(A285&lt;=duree_credit*12,C285*taux_credit/12,0)</f>
        <v/>
      </c>
      <c r="E285" s="41">
        <f>IF(A285&lt;=duree_credit*12,assurance_mens,0)</f>
        <v/>
      </c>
      <c r="F285" s="41">
        <f>IF(A285&lt;=duree_credit*12,mensualite_ha-D285,0)</f>
        <v/>
      </c>
      <c r="G285" s="41">
        <f>IF(A285&lt;=duree_credit*12,mensualite_ha+E285,0)</f>
        <v/>
      </c>
      <c r="H285" s="41">
        <f>C285-F285</f>
        <v/>
      </c>
    </row>
    <row r="286">
      <c r="A286" s="37" t="n">
        <v>283</v>
      </c>
      <c r="B286" s="37">
        <f>ROUNDUP(A286/12,0)</f>
        <v/>
      </c>
      <c r="C286" s="38">
        <f>IF(A286&lt;=duree_credit*12,H285,0)</f>
        <v/>
      </c>
      <c r="D286" s="38">
        <f>IF(A286&lt;=duree_credit*12,C286*taux_credit/12,0)</f>
        <v/>
      </c>
      <c r="E286" s="38">
        <f>IF(A286&lt;=duree_credit*12,assurance_mens,0)</f>
        <v/>
      </c>
      <c r="F286" s="38">
        <f>IF(A286&lt;=duree_credit*12,mensualite_ha-D286,0)</f>
        <v/>
      </c>
      <c r="G286" s="38">
        <f>IF(A286&lt;=duree_credit*12,mensualite_ha+E286,0)</f>
        <v/>
      </c>
      <c r="H286" s="38">
        <f>C286-F286</f>
        <v/>
      </c>
    </row>
    <row r="287">
      <c r="A287" s="40" t="n">
        <v>284</v>
      </c>
      <c r="B287" s="40">
        <f>ROUNDUP(A287/12,0)</f>
        <v/>
      </c>
      <c r="C287" s="41">
        <f>IF(A287&lt;=duree_credit*12,H286,0)</f>
        <v/>
      </c>
      <c r="D287" s="41">
        <f>IF(A287&lt;=duree_credit*12,C287*taux_credit/12,0)</f>
        <v/>
      </c>
      <c r="E287" s="41">
        <f>IF(A287&lt;=duree_credit*12,assurance_mens,0)</f>
        <v/>
      </c>
      <c r="F287" s="41">
        <f>IF(A287&lt;=duree_credit*12,mensualite_ha-D287,0)</f>
        <v/>
      </c>
      <c r="G287" s="41">
        <f>IF(A287&lt;=duree_credit*12,mensualite_ha+E287,0)</f>
        <v/>
      </c>
      <c r="H287" s="41">
        <f>C287-F287</f>
        <v/>
      </c>
    </row>
    <row r="288">
      <c r="A288" s="37" t="n">
        <v>285</v>
      </c>
      <c r="B288" s="37">
        <f>ROUNDUP(A288/12,0)</f>
        <v/>
      </c>
      <c r="C288" s="38">
        <f>IF(A288&lt;=duree_credit*12,H287,0)</f>
        <v/>
      </c>
      <c r="D288" s="38">
        <f>IF(A288&lt;=duree_credit*12,C288*taux_credit/12,0)</f>
        <v/>
      </c>
      <c r="E288" s="38">
        <f>IF(A288&lt;=duree_credit*12,assurance_mens,0)</f>
        <v/>
      </c>
      <c r="F288" s="38">
        <f>IF(A288&lt;=duree_credit*12,mensualite_ha-D288,0)</f>
        <v/>
      </c>
      <c r="G288" s="38">
        <f>IF(A288&lt;=duree_credit*12,mensualite_ha+E288,0)</f>
        <v/>
      </c>
      <c r="H288" s="38">
        <f>C288-F288</f>
        <v/>
      </c>
    </row>
    <row r="289">
      <c r="A289" s="40" t="n">
        <v>286</v>
      </c>
      <c r="B289" s="40">
        <f>ROUNDUP(A289/12,0)</f>
        <v/>
      </c>
      <c r="C289" s="41">
        <f>IF(A289&lt;=duree_credit*12,H288,0)</f>
        <v/>
      </c>
      <c r="D289" s="41">
        <f>IF(A289&lt;=duree_credit*12,C289*taux_credit/12,0)</f>
        <v/>
      </c>
      <c r="E289" s="41">
        <f>IF(A289&lt;=duree_credit*12,assurance_mens,0)</f>
        <v/>
      </c>
      <c r="F289" s="41">
        <f>IF(A289&lt;=duree_credit*12,mensualite_ha-D289,0)</f>
        <v/>
      </c>
      <c r="G289" s="41">
        <f>IF(A289&lt;=duree_credit*12,mensualite_ha+E289,0)</f>
        <v/>
      </c>
      <c r="H289" s="41">
        <f>C289-F289</f>
        <v/>
      </c>
    </row>
    <row r="290">
      <c r="A290" s="37" t="n">
        <v>287</v>
      </c>
      <c r="B290" s="37">
        <f>ROUNDUP(A290/12,0)</f>
        <v/>
      </c>
      <c r="C290" s="38">
        <f>IF(A290&lt;=duree_credit*12,H289,0)</f>
        <v/>
      </c>
      <c r="D290" s="38">
        <f>IF(A290&lt;=duree_credit*12,C290*taux_credit/12,0)</f>
        <v/>
      </c>
      <c r="E290" s="38">
        <f>IF(A290&lt;=duree_credit*12,assurance_mens,0)</f>
        <v/>
      </c>
      <c r="F290" s="38">
        <f>IF(A290&lt;=duree_credit*12,mensualite_ha-D290,0)</f>
        <v/>
      </c>
      <c r="G290" s="38">
        <f>IF(A290&lt;=duree_credit*12,mensualite_ha+E290,0)</f>
        <v/>
      </c>
      <c r="H290" s="38">
        <f>C290-F290</f>
        <v/>
      </c>
    </row>
    <row r="291">
      <c r="A291" s="40" t="n">
        <v>288</v>
      </c>
      <c r="B291" s="40">
        <f>ROUNDUP(A291/12,0)</f>
        <v/>
      </c>
      <c r="C291" s="41">
        <f>IF(A291&lt;=duree_credit*12,H290,0)</f>
        <v/>
      </c>
      <c r="D291" s="41">
        <f>IF(A291&lt;=duree_credit*12,C291*taux_credit/12,0)</f>
        <v/>
      </c>
      <c r="E291" s="41">
        <f>IF(A291&lt;=duree_credit*12,assurance_mens,0)</f>
        <v/>
      </c>
      <c r="F291" s="41">
        <f>IF(A291&lt;=duree_credit*12,mensualite_ha-D291,0)</f>
        <v/>
      </c>
      <c r="G291" s="41">
        <f>IF(A291&lt;=duree_credit*12,mensualite_ha+E291,0)</f>
        <v/>
      </c>
      <c r="H291" s="41">
        <f>C291-F291</f>
        <v/>
      </c>
    </row>
    <row r="292">
      <c r="A292" s="37" t="n">
        <v>289</v>
      </c>
      <c r="B292" s="37">
        <f>ROUNDUP(A292/12,0)</f>
        <v/>
      </c>
      <c r="C292" s="38">
        <f>IF(A292&lt;=duree_credit*12,H291,0)</f>
        <v/>
      </c>
      <c r="D292" s="38">
        <f>IF(A292&lt;=duree_credit*12,C292*taux_credit/12,0)</f>
        <v/>
      </c>
      <c r="E292" s="38">
        <f>IF(A292&lt;=duree_credit*12,assurance_mens,0)</f>
        <v/>
      </c>
      <c r="F292" s="38">
        <f>IF(A292&lt;=duree_credit*12,mensualite_ha-D292,0)</f>
        <v/>
      </c>
      <c r="G292" s="38">
        <f>IF(A292&lt;=duree_credit*12,mensualite_ha+E292,0)</f>
        <v/>
      </c>
      <c r="H292" s="38">
        <f>C292-F292</f>
        <v/>
      </c>
    </row>
    <row r="293">
      <c r="A293" s="40" t="n">
        <v>290</v>
      </c>
      <c r="B293" s="40">
        <f>ROUNDUP(A293/12,0)</f>
        <v/>
      </c>
      <c r="C293" s="41">
        <f>IF(A293&lt;=duree_credit*12,H292,0)</f>
        <v/>
      </c>
      <c r="D293" s="41">
        <f>IF(A293&lt;=duree_credit*12,C293*taux_credit/12,0)</f>
        <v/>
      </c>
      <c r="E293" s="41">
        <f>IF(A293&lt;=duree_credit*12,assurance_mens,0)</f>
        <v/>
      </c>
      <c r="F293" s="41">
        <f>IF(A293&lt;=duree_credit*12,mensualite_ha-D293,0)</f>
        <v/>
      </c>
      <c r="G293" s="41">
        <f>IF(A293&lt;=duree_credit*12,mensualite_ha+E293,0)</f>
        <v/>
      </c>
      <c r="H293" s="41">
        <f>C293-F293</f>
        <v/>
      </c>
    </row>
    <row r="294">
      <c r="A294" s="37" t="n">
        <v>291</v>
      </c>
      <c r="B294" s="37">
        <f>ROUNDUP(A294/12,0)</f>
        <v/>
      </c>
      <c r="C294" s="38">
        <f>IF(A294&lt;=duree_credit*12,H293,0)</f>
        <v/>
      </c>
      <c r="D294" s="38">
        <f>IF(A294&lt;=duree_credit*12,C294*taux_credit/12,0)</f>
        <v/>
      </c>
      <c r="E294" s="38">
        <f>IF(A294&lt;=duree_credit*12,assurance_mens,0)</f>
        <v/>
      </c>
      <c r="F294" s="38">
        <f>IF(A294&lt;=duree_credit*12,mensualite_ha-D294,0)</f>
        <v/>
      </c>
      <c r="G294" s="38">
        <f>IF(A294&lt;=duree_credit*12,mensualite_ha+E294,0)</f>
        <v/>
      </c>
      <c r="H294" s="38">
        <f>C294-F294</f>
        <v/>
      </c>
    </row>
    <row r="295">
      <c r="A295" s="40" t="n">
        <v>292</v>
      </c>
      <c r="B295" s="40">
        <f>ROUNDUP(A295/12,0)</f>
        <v/>
      </c>
      <c r="C295" s="41">
        <f>IF(A295&lt;=duree_credit*12,H294,0)</f>
        <v/>
      </c>
      <c r="D295" s="41">
        <f>IF(A295&lt;=duree_credit*12,C295*taux_credit/12,0)</f>
        <v/>
      </c>
      <c r="E295" s="41">
        <f>IF(A295&lt;=duree_credit*12,assurance_mens,0)</f>
        <v/>
      </c>
      <c r="F295" s="41">
        <f>IF(A295&lt;=duree_credit*12,mensualite_ha-D295,0)</f>
        <v/>
      </c>
      <c r="G295" s="41">
        <f>IF(A295&lt;=duree_credit*12,mensualite_ha+E295,0)</f>
        <v/>
      </c>
      <c r="H295" s="41">
        <f>C295-F295</f>
        <v/>
      </c>
    </row>
    <row r="296">
      <c r="A296" s="37" t="n">
        <v>293</v>
      </c>
      <c r="B296" s="37">
        <f>ROUNDUP(A296/12,0)</f>
        <v/>
      </c>
      <c r="C296" s="38">
        <f>IF(A296&lt;=duree_credit*12,H295,0)</f>
        <v/>
      </c>
      <c r="D296" s="38">
        <f>IF(A296&lt;=duree_credit*12,C296*taux_credit/12,0)</f>
        <v/>
      </c>
      <c r="E296" s="38">
        <f>IF(A296&lt;=duree_credit*12,assurance_mens,0)</f>
        <v/>
      </c>
      <c r="F296" s="38">
        <f>IF(A296&lt;=duree_credit*12,mensualite_ha-D296,0)</f>
        <v/>
      </c>
      <c r="G296" s="38">
        <f>IF(A296&lt;=duree_credit*12,mensualite_ha+E296,0)</f>
        <v/>
      </c>
      <c r="H296" s="38">
        <f>C296-F296</f>
        <v/>
      </c>
    </row>
    <row r="297">
      <c r="A297" s="40" t="n">
        <v>294</v>
      </c>
      <c r="B297" s="40">
        <f>ROUNDUP(A297/12,0)</f>
        <v/>
      </c>
      <c r="C297" s="41">
        <f>IF(A297&lt;=duree_credit*12,H296,0)</f>
        <v/>
      </c>
      <c r="D297" s="41">
        <f>IF(A297&lt;=duree_credit*12,C297*taux_credit/12,0)</f>
        <v/>
      </c>
      <c r="E297" s="41">
        <f>IF(A297&lt;=duree_credit*12,assurance_mens,0)</f>
        <v/>
      </c>
      <c r="F297" s="41">
        <f>IF(A297&lt;=duree_credit*12,mensualite_ha-D297,0)</f>
        <v/>
      </c>
      <c r="G297" s="41">
        <f>IF(A297&lt;=duree_credit*12,mensualite_ha+E297,0)</f>
        <v/>
      </c>
      <c r="H297" s="41">
        <f>C297-F297</f>
        <v/>
      </c>
    </row>
    <row r="298">
      <c r="A298" s="37" t="n">
        <v>295</v>
      </c>
      <c r="B298" s="37">
        <f>ROUNDUP(A298/12,0)</f>
        <v/>
      </c>
      <c r="C298" s="38">
        <f>IF(A298&lt;=duree_credit*12,H297,0)</f>
        <v/>
      </c>
      <c r="D298" s="38">
        <f>IF(A298&lt;=duree_credit*12,C298*taux_credit/12,0)</f>
        <v/>
      </c>
      <c r="E298" s="38">
        <f>IF(A298&lt;=duree_credit*12,assurance_mens,0)</f>
        <v/>
      </c>
      <c r="F298" s="38">
        <f>IF(A298&lt;=duree_credit*12,mensualite_ha-D298,0)</f>
        <v/>
      </c>
      <c r="G298" s="38">
        <f>IF(A298&lt;=duree_credit*12,mensualite_ha+E298,0)</f>
        <v/>
      </c>
      <c r="H298" s="38">
        <f>C298-F298</f>
        <v/>
      </c>
    </row>
    <row r="299">
      <c r="A299" s="40" t="n">
        <v>296</v>
      </c>
      <c r="B299" s="40">
        <f>ROUNDUP(A299/12,0)</f>
        <v/>
      </c>
      <c r="C299" s="41">
        <f>IF(A299&lt;=duree_credit*12,H298,0)</f>
        <v/>
      </c>
      <c r="D299" s="41">
        <f>IF(A299&lt;=duree_credit*12,C299*taux_credit/12,0)</f>
        <v/>
      </c>
      <c r="E299" s="41">
        <f>IF(A299&lt;=duree_credit*12,assurance_mens,0)</f>
        <v/>
      </c>
      <c r="F299" s="41">
        <f>IF(A299&lt;=duree_credit*12,mensualite_ha-D299,0)</f>
        <v/>
      </c>
      <c r="G299" s="41">
        <f>IF(A299&lt;=duree_credit*12,mensualite_ha+E299,0)</f>
        <v/>
      </c>
      <c r="H299" s="41">
        <f>C299-F299</f>
        <v/>
      </c>
    </row>
    <row r="300">
      <c r="A300" s="37" t="n">
        <v>297</v>
      </c>
      <c r="B300" s="37">
        <f>ROUNDUP(A300/12,0)</f>
        <v/>
      </c>
      <c r="C300" s="38">
        <f>IF(A300&lt;=duree_credit*12,H299,0)</f>
        <v/>
      </c>
      <c r="D300" s="38">
        <f>IF(A300&lt;=duree_credit*12,C300*taux_credit/12,0)</f>
        <v/>
      </c>
      <c r="E300" s="38">
        <f>IF(A300&lt;=duree_credit*12,assurance_mens,0)</f>
        <v/>
      </c>
      <c r="F300" s="38">
        <f>IF(A300&lt;=duree_credit*12,mensualite_ha-D300,0)</f>
        <v/>
      </c>
      <c r="G300" s="38">
        <f>IF(A300&lt;=duree_credit*12,mensualite_ha+E300,0)</f>
        <v/>
      </c>
      <c r="H300" s="38">
        <f>C300-F300</f>
        <v/>
      </c>
    </row>
    <row r="301">
      <c r="A301" s="40" t="n">
        <v>298</v>
      </c>
      <c r="B301" s="40">
        <f>ROUNDUP(A301/12,0)</f>
        <v/>
      </c>
      <c r="C301" s="41">
        <f>IF(A301&lt;=duree_credit*12,H300,0)</f>
        <v/>
      </c>
      <c r="D301" s="41">
        <f>IF(A301&lt;=duree_credit*12,C301*taux_credit/12,0)</f>
        <v/>
      </c>
      <c r="E301" s="41">
        <f>IF(A301&lt;=duree_credit*12,assurance_mens,0)</f>
        <v/>
      </c>
      <c r="F301" s="41">
        <f>IF(A301&lt;=duree_credit*12,mensualite_ha-D301,0)</f>
        <v/>
      </c>
      <c r="G301" s="41">
        <f>IF(A301&lt;=duree_credit*12,mensualite_ha+E301,0)</f>
        <v/>
      </c>
      <c r="H301" s="41">
        <f>C301-F301</f>
        <v/>
      </c>
    </row>
    <row r="302">
      <c r="A302" s="37" t="n">
        <v>299</v>
      </c>
      <c r="B302" s="37">
        <f>ROUNDUP(A302/12,0)</f>
        <v/>
      </c>
      <c r="C302" s="38">
        <f>IF(A302&lt;=duree_credit*12,H301,0)</f>
        <v/>
      </c>
      <c r="D302" s="38">
        <f>IF(A302&lt;=duree_credit*12,C302*taux_credit/12,0)</f>
        <v/>
      </c>
      <c r="E302" s="38">
        <f>IF(A302&lt;=duree_credit*12,assurance_mens,0)</f>
        <v/>
      </c>
      <c r="F302" s="38">
        <f>IF(A302&lt;=duree_credit*12,mensualite_ha-D302,0)</f>
        <v/>
      </c>
      <c r="G302" s="38">
        <f>IF(A302&lt;=duree_credit*12,mensualite_ha+E302,0)</f>
        <v/>
      </c>
      <c r="H302" s="38">
        <f>C302-F302</f>
        <v/>
      </c>
    </row>
    <row r="303">
      <c r="A303" s="40" t="n">
        <v>300</v>
      </c>
      <c r="B303" s="40">
        <f>ROUNDUP(A303/12,0)</f>
        <v/>
      </c>
      <c r="C303" s="41">
        <f>IF(A303&lt;=duree_credit*12,H302,0)</f>
        <v/>
      </c>
      <c r="D303" s="41">
        <f>IF(A303&lt;=duree_credit*12,C303*taux_credit/12,0)</f>
        <v/>
      </c>
      <c r="E303" s="41">
        <f>IF(A303&lt;=duree_credit*12,assurance_mens,0)</f>
        <v/>
      </c>
      <c r="F303" s="41">
        <f>IF(A303&lt;=duree_credit*12,mensualite_ha-D303,0)</f>
        <v/>
      </c>
      <c r="G303" s="41">
        <f>IF(A303&lt;=duree_credit*12,mensualite_ha+E303,0)</f>
        <v/>
      </c>
      <c r="H303" s="41">
        <f>C303-F303</f>
        <v/>
      </c>
    </row>
    <row r="304">
      <c r="A304" s="37" t="n">
        <v>301</v>
      </c>
      <c r="B304" s="37">
        <f>ROUNDUP(A304/12,0)</f>
        <v/>
      </c>
      <c r="C304" s="38">
        <f>IF(A304&lt;=duree_credit*12,H303,0)</f>
        <v/>
      </c>
      <c r="D304" s="38">
        <f>IF(A304&lt;=duree_credit*12,C304*taux_credit/12,0)</f>
        <v/>
      </c>
      <c r="E304" s="38">
        <f>IF(A304&lt;=duree_credit*12,assurance_mens,0)</f>
        <v/>
      </c>
      <c r="F304" s="38">
        <f>IF(A304&lt;=duree_credit*12,mensualite_ha-D304,0)</f>
        <v/>
      </c>
      <c r="G304" s="38">
        <f>IF(A304&lt;=duree_credit*12,mensualite_ha+E304,0)</f>
        <v/>
      </c>
      <c r="H304" s="38">
        <f>C304-F304</f>
        <v/>
      </c>
    </row>
    <row r="305">
      <c r="A305" s="40" t="n">
        <v>302</v>
      </c>
      <c r="B305" s="40">
        <f>ROUNDUP(A305/12,0)</f>
        <v/>
      </c>
      <c r="C305" s="41">
        <f>IF(A305&lt;=duree_credit*12,H304,0)</f>
        <v/>
      </c>
      <c r="D305" s="41">
        <f>IF(A305&lt;=duree_credit*12,C305*taux_credit/12,0)</f>
        <v/>
      </c>
      <c r="E305" s="41">
        <f>IF(A305&lt;=duree_credit*12,assurance_mens,0)</f>
        <v/>
      </c>
      <c r="F305" s="41">
        <f>IF(A305&lt;=duree_credit*12,mensualite_ha-D305,0)</f>
        <v/>
      </c>
      <c r="G305" s="41">
        <f>IF(A305&lt;=duree_credit*12,mensualite_ha+E305,0)</f>
        <v/>
      </c>
      <c r="H305" s="41">
        <f>C305-F305</f>
        <v/>
      </c>
    </row>
    <row r="306">
      <c r="A306" s="37" t="n">
        <v>303</v>
      </c>
      <c r="B306" s="37">
        <f>ROUNDUP(A306/12,0)</f>
        <v/>
      </c>
      <c r="C306" s="38">
        <f>IF(A306&lt;=duree_credit*12,H305,0)</f>
        <v/>
      </c>
      <c r="D306" s="38">
        <f>IF(A306&lt;=duree_credit*12,C306*taux_credit/12,0)</f>
        <v/>
      </c>
      <c r="E306" s="38">
        <f>IF(A306&lt;=duree_credit*12,assurance_mens,0)</f>
        <v/>
      </c>
      <c r="F306" s="38">
        <f>IF(A306&lt;=duree_credit*12,mensualite_ha-D306,0)</f>
        <v/>
      </c>
      <c r="G306" s="38">
        <f>IF(A306&lt;=duree_credit*12,mensualite_ha+E306,0)</f>
        <v/>
      </c>
      <c r="H306" s="38">
        <f>C306-F306</f>
        <v/>
      </c>
    </row>
    <row r="307">
      <c r="A307" s="40" t="n">
        <v>304</v>
      </c>
      <c r="B307" s="40">
        <f>ROUNDUP(A307/12,0)</f>
        <v/>
      </c>
      <c r="C307" s="41">
        <f>IF(A307&lt;=duree_credit*12,H306,0)</f>
        <v/>
      </c>
      <c r="D307" s="41">
        <f>IF(A307&lt;=duree_credit*12,C307*taux_credit/12,0)</f>
        <v/>
      </c>
      <c r="E307" s="41">
        <f>IF(A307&lt;=duree_credit*12,assurance_mens,0)</f>
        <v/>
      </c>
      <c r="F307" s="41">
        <f>IF(A307&lt;=duree_credit*12,mensualite_ha-D307,0)</f>
        <v/>
      </c>
      <c r="G307" s="41">
        <f>IF(A307&lt;=duree_credit*12,mensualite_ha+E307,0)</f>
        <v/>
      </c>
      <c r="H307" s="41">
        <f>C307-F307</f>
        <v/>
      </c>
    </row>
    <row r="308">
      <c r="A308" s="37" t="n">
        <v>305</v>
      </c>
      <c r="B308" s="37">
        <f>ROUNDUP(A308/12,0)</f>
        <v/>
      </c>
      <c r="C308" s="38">
        <f>IF(A308&lt;=duree_credit*12,H307,0)</f>
        <v/>
      </c>
      <c r="D308" s="38">
        <f>IF(A308&lt;=duree_credit*12,C308*taux_credit/12,0)</f>
        <v/>
      </c>
      <c r="E308" s="38">
        <f>IF(A308&lt;=duree_credit*12,assurance_mens,0)</f>
        <v/>
      </c>
      <c r="F308" s="38">
        <f>IF(A308&lt;=duree_credit*12,mensualite_ha-D308,0)</f>
        <v/>
      </c>
      <c r="G308" s="38">
        <f>IF(A308&lt;=duree_credit*12,mensualite_ha+E308,0)</f>
        <v/>
      </c>
      <c r="H308" s="38">
        <f>C308-F308</f>
        <v/>
      </c>
    </row>
    <row r="309">
      <c r="A309" s="40" t="n">
        <v>306</v>
      </c>
      <c r="B309" s="40">
        <f>ROUNDUP(A309/12,0)</f>
        <v/>
      </c>
      <c r="C309" s="41">
        <f>IF(A309&lt;=duree_credit*12,H308,0)</f>
        <v/>
      </c>
      <c r="D309" s="41">
        <f>IF(A309&lt;=duree_credit*12,C309*taux_credit/12,0)</f>
        <v/>
      </c>
      <c r="E309" s="41">
        <f>IF(A309&lt;=duree_credit*12,assurance_mens,0)</f>
        <v/>
      </c>
      <c r="F309" s="41">
        <f>IF(A309&lt;=duree_credit*12,mensualite_ha-D309,0)</f>
        <v/>
      </c>
      <c r="G309" s="41">
        <f>IF(A309&lt;=duree_credit*12,mensualite_ha+E309,0)</f>
        <v/>
      </c>
      <c r="H309" s="41">
        <f>C309-F309</f>
        <v/>
      </c>
    </row>
    <row r="310">
      <c r="A310" s="37" t="n">
        <v>307</v>
      </c>
      <c r="B310" s="37">
        <f>ROUNDUP(A310/12,0)</f>
        <v/>
      </c>
      <c r="C310" s="38">
        <f>IF(A310&lt;=duree_credit*12,H309,0)</f>
        <v/>
      </c>
      <c r="D310" s="38">
        <f>IF(A310&lt;=duree_credit*12,C310*taux_credit/12,0)</f>
        <v/>
      </c>
      <c r="E310" s="38">
        <f>IF(A310&lt;=duree_credit*12,assurance_mens,0)</f>
        <v/>
      </c>
      <c r="F310" s="38">
        <f>IF(A310&lt;=duree_credit*12,mensualite_ha-D310,0)</f>
        <v/>
      </c>
      <c r="G310" s="38">
        <f>IF(A310&lt;=duree_credit*12,mensualite_ha+E310,0)</f>
        <v/>
      </c>
      <c r="H310" s="38">
        <f>C310-F310</f>
        <v/>
      </c>
    </row>
    <row r="311">
      <c r="A311" s="40" t="n">
        <v>308</v>
      </c>
      <c r="B311" s="40">
        <f>ROUNDUP(A311/12,0)</f>
        <v/>
      </c>
      <c r="C311" s="41">
        <f>IF(A311&lt;=duree_credit*12,H310,0)</f>
        <v/>
      </c>
      <c r="D311" s="41">
        <f>IF(A311&lt;=duree_credit*12,C311*taux_credit/12,0)</f>
        <v/>
      </c>
      <c r="E311" s="41">
        <f>IF(A311&lt;=duree_credit*12,assurance_mens,0)</f>
        <v/>
      </c>
      <c r="F311" s="41">
        <f>IF(A311&lt;=duree_credit*12,mensualite_ha-D311,0)</f>
        <v/>
      </c>
      <c r="G311" s="41">
        <f>IF(A311&lt;=duree_credit*12,mensualite_ha+E311,0)</f>
        <v/>
      </c>
      <c r="H311" s="41">
        <f>C311-F311</f>
        <v/>
      </c>
    </row>
    <row r="312">
      <c r="A312" s="37" t="n">
        <v>309</v>
      </c>
      <c r="B312" s="37">
        <f>ROUNDUP(A312/12,0)</f>
        <v/>
      </c>
      <c r="C312" s="38">
        <f>IF(A312&lt;=duree_credit*12,H311,0)</f>
        <v/>
      </c>
      <c r="D312" s="38">
        <f>IF(A312&lt;=duree_credit*12,C312*taux_credit/12,0)</f>
        <v/>
      </c>
      <c r="E312" s="38">
        <f>IF(A312&lt;=duree_credit*12,assurance_mens,0)</f>
        <v/>
      </c>
      <c r="F312" s="38">
        <f>IF(A312&lt;=duree_credit*12,mensualite_ha-D312,0)</f>
        <v/>
      </c>
      <c r="G312" s="38">
        <f>IF(A312&lt;=duree_credit*12,mensualite_ha+E312,0)</f>
        <v/>
      </c>
      <c r="H312" s="38">
        <f>C312-F312</f>
        <v/>
      </c>
    </row>
    <row r="313">
      <c r="A313" s="40" t="n">
        <v>310</v>
      </c>
      <c r="B313" s="40">
        <f>ROUNDUP(A313/12,0)</f>
        <v/>
      </c>
      <c r="C313" s="41">
        <f>IF(A313&lt;=duree_credit*12,H312,0)</f>
        <v/>
      </c>
      <c r="D313" s="41">
        <f>IF(A313&lt;=duree_credit*12,C313*taux_credit/12,0)</f>
        <v/>
      </c>
      <c r="E313" s="41">
        <f>IF(A313&lt;=duree_credit*12,assurance_mens,0)</f>
        <v/>
      </c>
      <c r="F313" s="41">
        <f>IF(A313&lt;=duree_credit*12,mensualite_ha-D313,0)</f>
        <v/>
      </c>
      <c r="G313" s="41">
        <f>IF(A313&lt;=duree_credit*12,mensualite_ha+E313,0)</f>
        <v/>
      </c>
      <c r="H313" s="41">
        <f>C313-F313</f>
        <v/>
      </c>
    </row>
    <row r="314">
      <c r="A314" s="37" t="n">
        <v>311</v>
      </c>
      <c r="B314" s="37">
        <f>ROUNDUP(A314/12,0)</f>
        <v/>
      </c>
      <c r="C314" s="38">
        <f>IF(A314&lt;=duree_credit*12,H313,0)</f>
        <v/>
      </c>
      <c r="D314" s="38">
        <f>IF(A314&lt;=duree_credit*12,C314*taux_credit/12,0)</f>
        <v/>
      </c>
      <c r="E314" s="38">
        <f>IF(A314&lt;=duree_credit*12,assurance_mens,0)</f>
        <v/>
      </c>
      <c r="F314" s="38">
        <f>IF(A314&lt;=duree_credit*12,mensualite_ha-D314,0)</f>
        <v/>
      </c>
      <c r="G314" s="38">
        <f>IF(A314&lt;=duree_credit*12,mensualite_ha+E314,0)</f>
        <v/>
      </c>
      <c r="H314" s="38">
        <f>C314-F314</f>
        <v/>
      </c>
    </row>
    <row r="315">
      <c r="A315" s="40" t="n">
        <v>312</v>
      </c>
      <c r="B315" s="40">
        <f>ROUNDUP(A315/12,0)</f>
        <v/>
      </c>
      <c r="C315" s="41">
        <f>IF(A315&lt;=duree_credit*12,H314,0)</f>
        <v/>
      </c>
      <c r="D315" s="41">
        <f>IF(A315&lt;=duree_credit*12,C315*taux_credit/12,0)</f>
        <v/>
      </c>
      <c r="E315" s="41">
        <f>IF(A315&lt;=duree_credit*12,assurance_mens,0)</f>
        <v/>
      </c>
      <c r="F315" s="41">
        <f>IF(A315&lt;=duree_credit*12,mensualite_ha-D315,0)</f>
        <v/>
      </c>
      <c r="G315" s="41">
        <f>IF(A315&lt;=duree_credit*12,mensualite_ha+E315,0)</f>
        <v/>
      </c>
      <c r="H315" s="41">
        <f>C315-F315</f>
        <v/>
      </c>
    </row>
    <row r="316">
      <c r="A316" s="37" t="n">
        <v>313</v>
      </c>
      <c r="B316" s="37">
        <f>ROUNDUP(A316/12,0)</f>
        <v/>
      </c>
      <c r="C316" s="38">
        <f>IF(A316&lt;=duree_credit*12,H315,0)</f>
        <v/>
      </c>
      <c r="D316" s="38">
        <f>IF(A316&lt;=duree_credit*12,C316*taux_credit/12,0)</f>
        <v/>
      </c>
      <c r="E316" s="38">
        <f>IF(A316&lt;=duree_credit*12,assurance_mens,0)</f>
        <v/>
      </c>
      <c r="F316" s="38">
        <f>IF(A316&lt;=duree_credit*12,mensualite_ha-D316,0)</f>
        <v/>
      </c>
      <c r="G316" s="38">
        <f>IF(A316&lt;=duree_credit*12,mensualite_ha+E316,0)</f>
        <v/>
      </c>
      <c r="H316" s="38">
        <f>C316-F316</f>
        <v/>
      </c>
    </row>
    <row r="317">
      <c r="A317" s="40" t="n">
        <v>314</v>
      </c>
      <c r="B317" s="40">
        <f>ROUNDUP(A317/12,0)</f>
        <v/>
      </c>
      <c r="C317" s="41">
        <f>IF(A317&lt;=duree_credit*12,H316,0)</f>
        <v/>
      </c>
      <c r="D317" s="41">
        <f>IF(A317&lt;=duree_credit*12,C317*taux_credit/12,0)</f>
        <v/>
      </c>
      <c r="E317" s="41">
        <f>IF(A317&lt;=duree_credit*12,assurance_mens,0)</f>
        <v/>
      </c>
      <c r="F317" s="41">
        <f>IF(A317&lt;=duree_credit*12,mensualite_ha-D317,0)</f>
        <v/>
      </c>
      <c r="G317" s="41">
        <f>IF(A317&lt;=duree_credit*12,mensualite_ha+E317,0)</f>
        <v/>
      </c>
      <c r="H317" s="41">
        <f>C317-F317</f>
        <v/>
      </c>
    </row>
    <row r="318">
      <c r="A318" s="37" t="n">
        <v>315</v>
      </c>
      <c r="B318" s="37">
        <f>ROUNDUP(A318/12,0)</f>
        <v/>
      </c>
      <c r="C318" s="38">
        <f>IF(A318&lt;=duree_credit*12,H317,0)</f>
        <v/>
      </c>
      <c r="D318" s="38">
        <f>IF(A318&lt;=duree_credit*12,C318*taux_credit/12,0)</f>
        <v/>
      </c>
      <c r="E318" s="38">
        <f>IF(A318&lt;=duree_credit*12,assurance_mens,0)</f>
        <v/>
      </c>
      <c r="F318" s="38">
        <f>IF(A318&lt;=duree_credit*12,mensualite_ha-D318,0)</f>
        <v/>
      </c>
      <c r="G318" s="38">
        <f>IF(A318&lt;=duree_credit*12,mensualite_ha+E318,0)</f>
        <v/>
      </c>
      <c r="H318" s="38">
        <f>C318-F318</f>
        <v/>
      </c>
    </row>
    <row r="319">
      <c r="A319" s="40" t="n">
        <v>316</v>
      </c>
      <c r="B319" s="40">
        <f>ROUNDUP(A319/12,0)</f>
        <v/>
      </c>
      <c r="C319" s="41">
        <f>IF(A319&lt;=duree_credit*12,H318,0)</f>
        <v/>
      </c>
      <c r="D319" s="41">
        <f>IF(A319&lt;=duree_credit*12,C319*taux_credit/12,0)</f>
        <v/>
      </c>
      <c r="E319" s="41">
        <f>IF(A319&lt;=duree_credit*12,assurance_mens,0)</f>
        <v/>
      </c>
      <c r="F319" s="41">
        <f>IF(A319&lt;=duree_credit*12,mensualite_ha-D319,0)</f>
        <v/>
      </c>
      <c r="G319" s="41">
        <f>IF(A319&lt;=duree_credit*12,mensualite_ha+E319,0)</f>
        <v/>
      </c>
      <c r="H319" s="41">
        <f>C319-F319</f>
        <v/>
      </c>
    </row>
    <row r="320">
      <c r="A320" s="37" t="n">
        <v>317</v>
      </c>
      <c r="B320" s="37">
        <f>ROUNDUP(A320/12,0)</f>
        <v/>
      </c>
      <c r="C320" s="38">
        <f>IF(A320&lt;=duree_credit*12,H319,0)</f>
        <v/>
      </c>
      <c r="D320" s="38">
        <f>IF(A320&lt;=duree_credit*12,C320*taux_credit/12,0)</f>
        <v/>
      </c>
      <c r="E320" s="38">
        <f>IF(A320&lt;=duree_credit*12,assurance_mens,0)</f>
        <v/>
      </c>
      <c r="F320" s="38">
        <f>IF(A320&lt;=duree_credit*12,mensualite_ha-D320,0)</f>
        <v/>
      </c>
      <c r="G320" s="38">
        <f>IF(A320&lt;=duree_credit*12,mensualite_ha+E320,0)</f>
        <v/>
      </c>
      <c r="H320" s="38">
        <f>C320-F320</f>
        <v/>
      </c>
    </row>
    <row r="321">
      <c r="A321" s="40" t="n">
        <v>318</v>
      </c>
      <c r="B321" s="40">
        <f>ROUNDUP(A321/12,0)</f>
        <v/>
      </c>
      <c r="C321" s="41">
        <f>IF(A321&lt;=duree_credit*12,H320,0)</f>
        <v/>
      </c>
      <c r="D321" s="41">
        <f>IF(A321&lt;=duree_credit*12,C321*taux_credit/12,0)</f>
        <v/>
      </c>
      <c r="E321" s="41">
        <f>IF(A321&lt;=duree_credit*12,assurance_mens,0)</f>
        <v/>
      </c>
      <c r="F321" s="41">
        <f>IF(A321&lt;=duree_credit*12,mensualite_ha-D321,0)</f>
        <v/>
      </c>
      <c r="G321" s="41">
        <f>IF(A321&lt;=duree_credit*12,mensualite_ha+E321,0)</f>
        <v/>
      </c>
      <c r="H321" s="41">
        <f>C321-F321</f>
        <v/>
      </c>
    </row>
    <row r="322">
      <c r="A322" s="37" t="n">
        <v>319</v>
      </c>
      <c r="B322" s="37">
        <f>ROUNDUP(A322/12,0)</f>
        <v/>
      </c>
      <c r="C322" s="38">
        <f>IF(A322&lt;=duree_credit*12,H321,0)</f>
        <v/>
      </c>
      <c r="D322" s="38">
        <f>IF(A322&lt;=duree_credit*12,C322*taux_credit/12,0)</f>
        <v/>
      </c>
      <c r="E322" s="38">
        <f>IF(A322&lt;=duree_credit*12,assurance_mens,0)</f>
        <v/>
      </c>
      <c r="F322" s="38">
        <f>IF(A322&lt;=duree_credit*12,mensualite_ha-D322,0)</f>
        <v/>
      </c>
      <c r="G322" s="38">
        <f>IF(A322&lt;=duree_credit*12,mensualite_ha+E322,0)</f>
        <v/>
      </c>
      <c r="H322" s="38">
        <f>C322-F322</f>
        <v/>
      </c>
    </row>
    <row r="323">
      <c r="A323" s="40" t="n">
        <v>320</v>
      </c>
      <c r="B323" s="40">
        <f>ROUNDUP(A323/12,0)</f>
        <v/>
      </c>
      <c r="C323" s="41">
        <f>IF(A323&lt;=duree_credit*12,H322,0)</f>
        <v/>
      </c>
      <c r="D323" s="41">
        <f>IF(A323&lt;=duree_credit*12,C323*taux_credit/12,0)</f>
        <v/>
      </c>
      <c r="E323" s="41">
        <f>IF(A323&lt;=duree_credit*12,assurance_mens,0)</f>
        <v/>
      </c>
      <c r="F323" s="41">
        <f>IF(A323&lt;=duree_credit*12,mensualite_ha-D323,0)</f>
        <v/>
      </c>
      <c r="G323" s="41">
        <f>IF(A323&lt;=duree_credit*12,mensualite_ha+E323,0)</f>
        <v/>
      </c>
      <c r="H323" s="41">
        <f>C323-F323</f>
        <v/>
      </c>
    </row>
    <row r="324">
      <c r="A324" s="37" t="n">
        <v>321</v>
      </c>
      <c r="B324" s="37">
        <f>ROUNDUP(A324/12,0)</f>
        <v/>
      </c>
      <c r="C324" s="38">
        <f>IF(A324&lt;=duree_credit*12,H323,0)</f>
        <v/>
      </c>
      <c r="D324" s="38">
        <f>IF(A324&lt;=duree_credit*12,C324*taux_credit/12,0)</f>
        <v/>
      </c>
      <c r="E324" s="38">
        <f>IF(A324&lt;=duree_credit*12,assurance_mens,0)</f>
        <v/>
      </c>
      <c r="F324" s="38">
        <f>IF(A324&lt;=duree_credit*12,mensualite_ha-D324,0)</f>
        <v/>
      </c>
      <c r="G324" s="38">
        <f>IF(A324&lt;=duree_credit*12,mensualite_ha+E324,0)</f>
        <v/>
      </c>
      <c r="H324" s="38">
        <f>C324-F324</f>
        <v/>
      </c>
    </row>
    <row r="325">
      <c r="A325" s="40" t="n">
        <v>322</v>
      </c>
      <c r="B325" s="40">
        <f>ROUNDUP(A325/12,0)</f>
        <v/>
      </c>
      <c r="C325" s="41">
        <f>IF(A325&lt;=duree_credit*12,H324,0)</f>
        <v/>
      </c>
      <c r="D325" s="41">
        <f>IF(A325&lt;=duree_credit*12,C325*taux_credit/12,0)</f>
        <v/>
      </c>
      <c r="E325" s="41">
        <f>IF(A325&lt;=duree_credit*12,assurance_mens,0)</f>
        <v/>
      </c>
      <c r="F325" s="41">
        <f>IF(A325&lt;=duree_credit*12,mensualite_ha-D325,0)</f>
        <v/>
      </c>
      <c r="G325" s="41">
        <f>IF(A325&lt;=duree_credit*12,mensualite_ha+E325,0)</f>
        <v/>
      </c>
      <c r="H325" s="41">
        <f>C325-F325</f>
        <v/>
      </c>
    </row>
    <row r="326">
      <c r="A326" s="37" t="n">
        <v>323</v>
      </c>
      <c r="B326" s="37">
        <f>ROUNDUP(A326/12,0)</f>
        <v/>
      </c>
      <c r="C326" s="38">
        <f>IF(A326&lt;=duree_credit*12,H325,0)</f>
        <v/>
      </c>
      <c r="D326" s="38">
        <f>IF(A326&lt;=duree_credit*12,C326*taux_credit/12,0)</f>
        <v/>
      </c>
      <c r="E326" s="38">
        <f>IF(A326&lt;=duree_credit*12,assurance_mens,0)</f>
        <v/>
      </c>
      <c r="F326" s="38">
        <f>IF(A326&lt;=duree_credit*12,mensualite_ha-D326,0)</f>
        <v/>
      </c>
      <c r="G326" s="38">
        <f>IF(A326&lt;=duree_credit*12,mensualite_ha+E326,0)</f>
        <v/>
      </c>
      <c r="H326" s="38">
        <f>C326-F326</f>
        <v/>
      </c>
    </row>
    <row r="327">
      <c r="A327" s="40" t="n">
        <v>324</v>
      </c>
      <c r="B327" s="40">
        <f>ROUNDUP(A327/12,0)</f>
        <v/>
      </c>
      <c r="C327" s="41">
        <f>IF(A327&lt;=duree_credit*12,H326,0)</f>
        <v/>
      </c>
      <c r="D327" s="41">
        <f>IF(A327&lt;=duree_credit*12,C327*taux_credit/12,0)</f>
        <v/>
      </c>
      <c r="E327" s="41">
        <f>IF(A327&lt;=duree_credit*12,assurance_mens,0)</f>
        <v/>
      </c>
      <c r="F327" s="41">
        <f>IF(A327&lt;=duree_credit*12,mensualite_ha-D327,0)</f>
        <v/>
      </c>
      <c r="G327" s="41">
        <f>IF(A327&lt;=duree_credit*12,mensualite_ha+E327,0)</f>
        <v/>
      </c>
      <c r="H327" s="41">
        <f>C327-F327</f>
        <v/>
      </c>
    </row>
    <row r="328">
      <c r="A328" s="37" t="n">
        <v>325</v>
      </c>
      <c r="B328" s="37">
        <f>ROUNDUP(A328/12,0)</f>
        <v/>
      </c>
      <c r="C328" s="38">
        <f>IF(A328&lt;=duree_credit*12,H327,0)</f>
        <v/>
      </c>
      <c r="D328" s="38">
        <f>IF(A328&lt;=duree_credit*12,C328*taux_credit/12,0)</f>
        <v/>
      </c>
      <c r="E328" s="38">
        <f>IF(A328&lt;=duree_credit*12,assurance_mens,0)</f>
        <v/>
      </c>
      <c r="F328" s="38">
        <f>IF(A328&lt;=duree_credit*12,mensualite_ha-D328,0)</f>
        <v/>
      </c>
      <c r="G328" s="38">
        <f>IF(A328&lt;=duree_credit*12,mensualite_ha+E328,0)</f>
        <v/>
      </c>
      <c r="H328" s="38">
        <f>C328-F328</f>
        <v/>
      </c>
    </row>
    <row r="329">
      <c r="A329" s="40" t="n">
        <v>326</v>
      </c>
      <c r="B329" s="40">
        <f>ROUNDUP(A329/12,0)</f>
        <v/>
      </c>
      <c r="C329" s="41">
        <f>IF(A329&lt;=duree_credit*12,H328,0)</f>
        <v/>
      </c>
      <c r="D329" s="41">
        <f>IF(A329&lt;=duree_credit*12,C329*taux_credit/12,0)</f>
        <v/>
      </c>
      <c r="E329" s="41">
        <f>IF(A329&lt;=duree_credit*12,assurance_mens,0)</f>
        <v/>
      </c>
      <c r="F329" s="41">
        <f>IF(A329&lt;=duree_credit*12,mensualite_ha-D329,0)</f>
        <v/>
      </c>
      <c r="G329" s="41">
        <f>IF(A329&lt;=duree_credit*12,mensualite_ha+E329,0)</f>
        <v/>
      </c>
      <c r="H329" s="41">
        <f>C329-F329</f>
        <v/>
      </c>
    </row>
    <row r="330">
      <c r="A330" s="37" t="n">
        <v>327</v>
      </c>
      <c r="B330" s="37">
        <f>ROUNDUP(A330/12,0)</f>
        <v/>
      </c>
      <c r="C330" s="38">
        <f>IF(A330&lt;=duree_credit*12,H329,0)</f>
        <v/>
      </c>
      <c r="D330" s="38">
        <f>IF(A330&lt;=duree_credit*12,C330*taux_credit/12,0)</f>
        <v/>
      </c>
      <c r="E330" s="38">
        <f>IF(A330&lt;=duree_credit*12,assurance_mens,0)</f>
        <v/>
      </c>
      <c r="F330" s="38">
        <f>IF(A330&lt;=duree_credit*12,mensualite_ha-D330,0)</f>
        <v/>
      </c>
      <c r="G330" s="38">
        <f>IF(A330&lt;=duree_credit*12,mensualite_ha+E330,0)</f>
        <v/>
      </c>
      <c r="H330" s="38">
        <f>C330-F330</f>
        <v/>
      </c>
    </row>
    <row r="331">
      <c r="A331" s="40" t="n">
        <v>328</v>
      </c>
      <c r="B331" s="40">
        <f>ROUNDUP(A331/12,0)</f>
        <v/>
      </c>
      <c r="C331" s="41">
        <f>IF(A331&lt;=duree_credit*12,H330,0)</f>
        <v/>
      </c>
      <c r="D331" s="41">
        <f>IF(A331&lt;=duree_credit*12,C331*taux_credit/12,0)</f>
        <v/>
      </c>
      <c r="E331" s="41">
        <f>IF(A331&lt;=duree_credit*12,assurance_mens,0)</f>
        <v/>
      </c>
      <c r="F331" s="41">
        <f>IF(A331&lt;=duree_credit*12,mensualite_ha-D331,0)</f>
        <v/>
      </c>
      <c r="G331" s="41">
        <f>IF(A331&lt;=duree_credit*12,mensualite_ha+E331,0)</f>
        <v/>
      </c>
      <c r="H331" s="41">
        <f>C331-F331</f>
        <v/>
      </c>
    </row>
    <row r="332">
      <c r="A332" s="37" t="n">
        <v>329</v>
      </c>
      <c r="B332" s="37">
        <f>ROUNDUP(A332/12,0)</f>
        <v/>
      </c>
      <c r="C332" s="38">
        <f>IF(A332&lt;=duree_credit*12,H331,0)</f>
        <v/>
      </c>
      <c r="D332" s="38">
        <f>IF(A332&lt;=duree_credit*12,C332*taux_credit/12,0)</f>
        <v/>
      </c>
      <c r="E332" s="38">
        <f>IF(A332&lt;=duree_credit*12,assurance_mens,0)</f>
        <v/>
      </c>
      <c r="F332" s="38">
        <f>IF(A332&lt;=duree_credit*12,mensualite_ha-D332,0)</f>
        <v/>
      </c>
      <c r="G332" s="38">
        <f>IF(A332&lt;=duree_credit*12,mensualite_ha+E332,0)</f>
        <v/>
      </c>
      <c r="H332" s="38">
        <f>C332-F332</f>
        <v/>
      </c>
    </row>
    <row r="333">
      <c r="A333" s="40" t="n">
        <v>330</v>
      </c>
      <c r="B333" s="40">
        <f>ROUNDUP(A333/12,0)</f>
        <v/>
      </c>
      <c r="C333" s="41">
        <f>IF(A333&lt;=duree_credit*12,H332,0)</f>
        <v/>
      </c>
      <c r="D333" s="41">
        <f>IF(A333&lt;=duree_credit*12,C333*taux_credit/12,0)</f>
        <v/>
      </c>
      <c r="E333" s="41">
        <f>IF(A333&lt;=duree_credit*12,assurance_mens,0)</f>
        <v/>
      </c>
      <c r="F333" s="41">
        <f>IF(A333&lt;=duree_credit*12,mensualite_ha-D333,0)</f>
        <v/>
      </c>
      <c r="G333" s="41">
        <f>IF(A333&lt;=duree_credit*12,mensualite_ha+E333,0)</f>
        <v/>
      </c>
      <c r="H333" s="41">
        <f>C333-F333</f>
        <v/>
      </c>
    </row>
    <row r="334">
      <c r="A334" s="37" t="n">
        <v>331</v>
      </c>
      <c r="B334" s="37">
        <f>ROUNDUP(A334/12,0)</f>
        <v/>
      </c>
      <c r="C334" s="38">
        <f>IF(A334&lt;=duree_credit*12,H333,0)</f>
        <v/>
      </c>
      <c r="D334" s="38">
        <f>IF(A334&lt;=duree_credit*12,C334*taux_credit/12,0)</f>
        <v/>
      </c>
      <c r="E334" s="38">
        <f>IF(A334&lt;=duree_credit*12,assurance_mens,0)</f>
        <v/>
      </c>
      <c r="F334" s="38">
        <f>IF(A334&lt;=duree_credit*12,mensualite_ha-D334,0)</f>
        <v/>
      </c>
      <c r="G334" s="38">
        <f>IF(A334&lt;=duree_credit*12,mensualite_ha+E334,0)</f>
        <v/>
      </c>
      <c r="H334" s="38">
        <f>C334-F334</f>
        <v/>
      </c>
    </row>
    <row r="335">
      <c r="A335" s="40" t="n">
        <v>332</v>
      </c>
      <c r="B335" s="40">
        <f>ROUNDUP(A335/12,0)</f>
        <v/>
      </c>
      <c r="C335" s="41">
        <f>IF(A335&lt;=duree_credit*12,H334,0)</f>
        <v/>
      </c>
      <c r="D335" s="41">
        <f>IF(A335&lt;=duree_credit*12,C335*taux_credit/12,0)</f>
        <v/>
      </c>
      <c r="E335" s="41">
        <f>IF(A335&lt;=duree_credit*12,assurance_mens,0)</f>
        <v/>
      </c>
      <c r="F335" s="41">
        <f>IF(A335&lt;=duree_credit*12,mensualite_ha-D335,0)</f>
        <v/>
      </c>
      <c r="G335" s="41">
        <f>IF(A335&lt;=duree_credit*12,mensualite_ha+E335,0)</f>
        <v/>
      </c>
      <c r="H335" s="41">
        <f>C335-F335</f>
        <v/>
      </c>
    </row>
    <row r="336">
      <c r="A336" s="37" t="n">
        <v>333</v>
      </c>
      <c r="B336" s="37">
        <f>ROUNDUP(A336/12,0)</f>
        <v/>
      </c>
      <c r="C336" s="38">
        <f>IF(A336&lt;=duree_credit*12,H335,0)</f>
        <v/>
      </c>
      <c r="D336" s="38">
        <f>IF(A336&lt;=duree_credit*12,C336*taux_credit/12,0)</f>
        <v/>
      </c>
      <c r="E336" s="38">
        <f>IF(A336&lt;=duree_credit*12,assurance_mens,0)</f>
        <v/>
      </c>
      <c r="F336" s="38">
        <f>IF(A336&lt;=duree_credit*12,mensualite_ha-D336,0)</f>
        <v/>
      </c>
      <c r="G336" s="38">
        <f>IF(A336&lt;=duree_credit*12,mensualite_ha+E336,0)</f>
        <v/>
      </c>
      <c r="H336" s="38">
        <f>C336-F336</f>
        <v/>
      </c>
    </row>
    <row r="337">
      <c r="A337" s="40" t="n">
        <v>334</v>
      </c>
      <c r="B337" s="40">
        <f>ROUNDUP(A337/12,0)</f>
        <v/>
      </c>
      <c r="C337" s="41">
        <f>IF(A337&lt;=duree_credit*12,H336,0)</f>
        <v/>
      </c>
      <c r="D337" s="41">
        <f>IF(A337&lt;=duree_credit*12,C337*taux_credit/12,0)</f>
        <v/>
      </c>
      <c r="E337" s="41">
        <f>IF(A337&lt;=duree_credit*12,assurance_mens,0)</f>
        <v/>
      </c>
      <c r="F337" s="41">
        <f>IF(A337&lt;=duree_credit*12,mensualite_ha-D337,0)</f>
        <v/>
      </c>
      <c r="G337" s="41">
        <f>IF(A337&lt;=duree_credit*12,mensualite_ha+E337,0)</f>
        <v/>
      </c>
      <c r="H337" s="41">
        <f>C337-F337</f>
        <v/>
      </c>
    </row>
    <row r="338">
      <c r="A338" s="37" t="n">
        <v>335</v>
      </c>
      <c r="B338" s="37">
        <f>ROUNDUP(A338/12,0)</f>
        <v/>
      </c>
      <c r="C338" s="38">
        <f>IF(A338&lt;=duree_credit*12,H337,0)</f>
        <v/>
      </c>
      <c r="D338" s="38">
        <f>IF(A338&lt;=duree_credit*12,C338*taux_credit/12,0)</f>
        <v/>
      </c>
      <c r="E338" s="38">
        <f>IF(A338&lt;=duree_credit*12,assurance_mens,0)</f>
        <v/>
      </c>
      <c r="F338" s="38">
        <f>IF(A338&lt;=duree_credit*12,mensualite_ha-D338,0)</f>
        <v/>
      </c>
      <c r="G338" s="38">
        <f>IF(A338&lt;=duree_credit*12,mensualite_ha+E338,0)</f>
        <v/>
      </c>
      <c r="H338" s="38">
        <f>C338-F338</f>
        <v/>
      </c>
    </row>
    <row r="339">
      <c r="A339" s="40" t="n">
        <v>336</v>
      </c>
      <c r="B339" s="40">
        <f>ROUNDUP(A339/12,0)</f>
        <v/>
      </c>
      <c r="C339" s="41">
        <f>IF(A339&lt;=duree_credit*12,H338,0)</f>
        <v/>
      </c>
      <c r="D339" s="41">
        <f>IF(A339&lt;=duree_credit*12,C339*taux_credit/12,0)</f>
        <v/>
      </c>
      <c r="E339" s="41">
        <f>IF(A339&lt;=duree_credit*12,assurance_mens,0)</f>
        <v/>
      </c>
      <c r="F339" s="41">
        <f>IF(A339&lt;=duree_credit*12,mensualite_ha-D339,0)</f>
        <v/>
      </c>
      <c r="G339" s="41">
        <f>IF(A339&lt;=duree_credit*12,mensualite_ha+E339,0)</f>
        <v/>
      </c>
      <c r="H339" s="41">
        <f>C339-F339</f>
        <v/>
      </c>
    </row>
    <row r="340">
      <c r="A340" s="37" t="n">
        <v>337</v>
      </c>
      <c r="B340" s="37">
        <f>ROUNDUP(A340/12,0)</f>
        <v/>
      </c>
      <c r="C340" s="38">
        <f>IF(A340&lt;=duree_credit*12,H339,0)</f>
        <v/>
      </c>
      <c r="D340" s="38">
        <f>IF(A340&lt;=duree_credit*12,C340*taux_credit/12,0)</f>
        <v/>
      </c>
      <c r="E340" s="38">
        <f>IF(A340&lt;=duree_credit*12,assurance_mens,0)</f>
        <v/>
      </c>
      <c r="F340" s="38">
        <f>IF(A340&lt;=duree_credit*12,mensualite_ha-D340,0)</f>
        <v/>
      </c>
      <c r="G340" s="38">
        <f>IF(A340&lt;=duree_credit*12,mensualite_ha+E340,0)</f>
        <v/>
      </c>
      <c r="H340" s="38">
        <f>C340-F340</f>
        <v/>
      </c>
    </row>
    <row r="341">
      <c r="A341" s="40" t="n">
        <v>338</v>
      </c>
      <c r="B341" s="40">
        <f>ROUNDUP(A341/12,0)</f>
        <v/>
      </c>
      <c r="C341" s="41">
        <f>IF(A341&lt;=duree_credit*12,H340,0)</f>
        <v/>
      </c>
      <c r="D341" s="41">
        <f>IF(A341&lt;=duree_credit*12,C341*taux_credit/12,0)</f>
        <v/>
      </c>
      <c r="E341" s="41">
        <f>IF(A341&lt;=duree_credit*12,assurance_mens,0)</f>
        <v/>
      </c>
      <c r="F341" s="41">
        <f>IF(A341&lt;=duree_credit*12,mensualite_ha-D341,0)</f>
        <v/>
      </c>
      <c r="G341" s="41">
        <f>IF(A341&lt;=duree_credit*12,mensualite_ha+E341,0)</f>
        <v/>
      </c>
      <c r="H341" s="41">
        <f>C341-F341</f>
        <v/>
      </c>
    </row>
    <row r="342">
      <c r="A342" s="37" t="n">
        <v>339</v>
      </c>
      <c r="B342" s="37">
        <f>ROUNDUP(A342/12,0)</f>
        <v/>
      </c>
      <c r="C342" s="38">
        <f>IF(A342&lt;=duree_credit*12,H341,0)</f>
        <v/>
      </c>
      <c r="D342" s="38">
        <f>IF(A342&lt;=duree_credit*12,C342*taux_credit/12,0)</f>
        <v/>
      </c>
      <c r="E342" s="38">
        <f>IF(A342&lt;=duree_credit*12,assurance_mens,0)</f>
        <v/>
      </c>
      <c r="F342" s="38">
        <f>IF(A342&lt;=duree_credit*12,mensualite_ha-D342,0)</f>
        <v/>
      </c>
      <c r="G342" s="38">
        <f>IF(A342&lt;=duree_credit*12,mensualite_ha+E342,0)</f>
        <v/>
      </c>
      <c r="H342" s="38">
        <f>C342-F342</f>
        <v/>
      </c>
    </row>
    <row r="343">
      <c r="A343" s="40" t="n">
        <v>340</v>
      </c>
      <c r="B343" s="40">
        <f>ROUNDUP(A343/12,0)</f>
        <v/>
      </c>
      <c r="C343" s="41">
        <f>IF(A343&lt;=duree_credit*12,H342,0)</f>
        <v/>
      </c>
      <c r="D343" s="41">
        <f>IF(A343&lt;=duree_credit*12,C343*taux_credit/12,0)</f>
        <v/>
      </c>
      <c r="E343" s="41">
        <f>IF(A343&lt;=duree_credit*12,assurance_mens,0)</f>
        <v/>
      </c>
      <c r="F343" s="41">
        <f>IF(A343&lt;=duree_credit*12,mensualite_ha-D343,0)</f>
        <v/>
      </c>
      <c r="G343" s="41">
        <f>IF(A343&lt;=duree_credit*12,mensualite_ha+E343,0)</f>
        <v/>
      </c>
      <c r="H343" s="41">
        <f>C343-F343</f>
        <v/>
      </c>
    </row>
    <row r="344">
      <c r="A344" s="37" t="n">
        <v>341</v>
      </c>
      <c r="B344" s="37">
        <f>ROUNDUP(A344/12,0)</f>
        <v/>
      </c>
      <c r="C344" s="38">
        <f>IF(A344&lt;=duree_credit*12,H343,0)</f>
        <v/>
      </c>
      <c r="D344" s="38">
        <f>IF(A344&lt;=duree_credit*12,C344*taux_credit/12,0)</f>
        <v/>
      </c>
      <c r="E344" s="38">
        <f>IF(A344&lt;=duree_credit*12,assurance_mens,0)</f>
        <v/>
      </c>
      <c r="F344" s="38">
        <f>IF(A344&lt;=duree_credit*12,mensualite_ha-D344,0)</f>
        <v/>
      </c>
      <c r="G344" s="38">
        <f>IF(A344&lt;=duree_credit*12,mensualite_ha+E344,0)</f>
        <v/>
      </c>
      <c r="H344" s="38">
        <f>C344-F344</f>
        <v/>
      </c>
    </row>
    <row r="345">
      <c r="A345" s="40" t="n">
        <v>342</v>
      </c>
      <c r="B345" s="40">
        <f>ROUNDUP(A345/12,0)</f>
        <v/>
      </c>
      <c r="C345" s="41">
        <f>IF(A345&lt;=duree_credit*12,H344,0)</f>
        <v/>
      </c>
      <c r="D345" s="41">
        <f>IF(A345&lt;=duree_credit*12,C345*taux_credit/12,0)</f>
        <v/>
      </c>
      <c r="E345" s="41">
        <f>IF(A345&lt;=duree_credit*12,assurance_mens,0)</f>
        <v/>
      </c>
      <c r="F345" s="41">
        <f>IF(A345&lt;=duree_credit*12,mensualite_ha-D345,0)</f>
        <v/>
      </c>
      <c r="G345" s="41">
        <f>IF(A345&lt;=duree_credit*12,mensualite_ha+E345,0)</f>
        <v/>
      </c>
      <c r="H345" s="41">
        <f>C345-F345</f>
        <v/>
      </c>
    </row>
    <row r="346">
      <c r="A346" s="37" t="n">
        <v>343</v>
      </c>
      <c r="B346" s="37">
        <f>ROUNDUP(A346/12,0)</f>
        <v/>
      </c>
      <c r="C346" s="38">
        <f>IF(A346&lt;=duree_credit*12,H345,0)</f>
        <v/>
      </c>
      <c r="D346" s="38">
        <f>IF(A346&lt;=duree_credit*12,C346*taux_credit/12,0)</f>
        <v/>
      </c>
      <c r="E346" s="38">
        <f>IF(A346&lt;=duree_credit*12,assurance_mens,0)</f>
        <v/>
      </c>
      <c r="F346" s="38">
        <f>IF(A346&lt;=duree_credit*12,mensualite_ha-D346,0)</f>
        <v/>
      </c>
      <c r="G346" s="38">
        <f>IF(A346&lt;=duree_credit*12,mensualite_ha+E346,0)</f>
        <v/>
      </c>
      <c r="H346" s="38">
        <f>C346-F346</f>
        <v/>
      </c>
    </row>
    <row r="347">
      <c r="A347" s="40" t="n">
        <v>344</v>
      </c>
      <c r="B347" s="40">
        <f>ROUNDUP(A347/12,0)</f>
        <v/>
      </c>
      <c r="C347" s="41">
        <f>IF(A347&lt;=duree_credit*12,H346,0)</f>
        <v/>
      </c>
      <c r="D347" s="41">
        <f>IF(A347&lt;=duree_credit*12,C347*taux_credit/12,0)</f>
        <v/>
      </c>
      <c r="E347" s="41">
        <f>IF(A347&lt;=duree_credit*12,assurance_mens,0)</f>
        <v/>
      </c>
      <c r="F347" s="41">
        <f>IF(A347&lt;=duree_credit*12,mensualite_ha-D347,0)</f>
        <v/>
      </c>
      <c r="G347" s="41">
        <f>IF(A347&lt;=duree_credit*12,mensualite_ha+E347,0)</f>
        <v/>
      </c>
      <c r="H347" s="41">
        <f>C347-F347</f>
        <v/>
      </c>
    </row>
    <row r="348">
      <c r="A348" s="37" t="n">
        <v>345</v>
      </c>
      <c r="B348" s="37">
        <f>ROUNDUP(A348/12,0)</f>
        <v/>
      </c>
      <c r="C348" s="38">
        <f>IF(A348&lt;=duree_credit*12,H347,0)</f>
        <v/>
      </c>
      <c r="D348" s="38">
        <f>IF(A348&lt;=duree_credit*12,C348*taux_credit/12,0)</f>
        <v/>
      </c>
      <c r="E348" s="38">
        <f>IF(A348&lt;=duree_credit*12,assurance_mens,0)</f>
        <v/>
      </c>
      <c r="F348" s="38">
        <f>IF(A348&lt;=duree_credit*12,mensualite_ha-D348,0)</f>
        <v/>
      </c>
      <c r="G348" s="38">
        <f>IF(A348&lt;=duree_credit*12,mensualite_ha+E348,0)</f>
        <v/>
      </c>
      <c r="H348" s="38">
        <f>C348-F348</f>
        <v/>
      </c>
    </row>
    <row r="349">
      <c r="A349" s="40" t="n">
        <v>346</v>
      </c>
      <c r="B349" s="40">
        <f>ROUNDUP(A349/12,0)</f>
        <v/>
      </c>
      <c r="C349" s="41">
        <f>IF(A349&lt;=duree_credit*12,H348,0)</f>
        <v/>
      </c>
      <c r="D349" s="41">
        <f>IF(A349&lt;=duree_credit*12,C349*taux_credit/12,0)</f>
        <v/>
      </c>
      <c r="E349" s="41">
        <f>IF(A349&lt;=duree_credit*12,assurance_mens,0)</f>
        <v/>
      </c>
      <c r="F349" s="41">
        <f>IF(A349&lt;=duree_credit*12,mensualite_ha-D349,0)</f>
        <v/>
      </c>
      <c r="G349" s="41">
        <f>IF(A349&lt;=duree_credit*12,mensualite_ha+E349,0)</f>
        <v/>
      </c>
      <c r="H349" s="41">
        <f>C349-F349</f>
        <v/>
      </c>
    </row>
    <row r="350">
      <c r="A350" s="37" t="n">
        <v>347</v>
      </c>
      <c r="B350" s="37">
        <f>ROUNDUP(A350/12,0)</f>
        <v/>
      </c>
      <c r="C350" s="38">
        <f>IF(A350&lt;=duree_credit*12,H349,0)</f>
        <v/>
      </c>
      <c r="D350" s="38">
        <f>IF(A350&lt;=duree_credit*12,C350*taux_credit/12,0)</f>
        <v/>
      </c>
      <c r="E350" s="38">
        <f>IF(A350&lt;=duree_credit*12,assurance_mens,0)</f>
        <v/>
      </c>
      <c r="F350" s="38">
        <f>IF(A350&lt;=duree_credit*12,mensualite_ha-D350,0)</f>
        <v/>
      </c>
      <c r="G350" s="38">
        <f>IF(A350&lt;=duree_credit*12,mensualite_ha+E350,0)</f>
        <v/>
      </c>
      <c r="H350" s="38">
        <f>C350-F350</f>
        <v/>
      </c>
    </row>
    <row r="351">
      <c r="A351" s="40" t="n">
        <v>348</v>
      </c>
      <c r="B351" s="40">
        <f>ROUNDUP(A351/12,0)</f>
        <v/>
      </c>
      <c r="C351" s="41">
        <f>IF(A351&lt;=duree_credit*12,H350,0)</f>
        <v/>
      </c>
      <c r="D351" s="41">
        <f>IF(A351&lt;=duree_credit*12,C351*taux_credit/12,0)</f>
        <v/>
      </c>
      <c r="E351" s="41">
        <f>IF(A351&lt;=duree_credit*12,assurance_mens,0)</f>
        <v/>
      </c>
      <c r="F351" s="41">
        <f>IF(A351&lt;=duree_credit*12,mensualite_ha-D351,0)</f>
        <v/>
      </c>
      <c r="G351" s="41">
        <f>IF(A351&lt;=duree_credit*12,mensualite_ha+E351,0)</f>
        <v/>
      </c>
      <c r="H351" s="41">
        <f>C351-F351</f>
        <v/>
      </c>
    </row>
    <row r="352">
      <c r="A352" s="37" t="n">
        <v>349</v>
      </c>
      <c r="B352" s="37">
        <f>ROUNDUP(A352/12,0)</f>
        <v/>
      </c>
      <c r="C352" s="38">
        <f>IF(A352&lt;=duree_credit*12,H351,0)</f>
        <v/>
      </c>
      <c r="D352" s="38">
        <f>IF(A352&lt;=duree_credit*12,C352*taux_credit/12,0)</f>
        <v/>
      </c>
      <c r="E352" s="38">
        <f>IF(A352&lt;=duree_credit*12,assurance_mens,0)</f>
        <v/>
      </c>
      <c r="F352" s="38">
        <f>IF(A352&lt;=duree_credit*12,mensualite_ha-D352,0)</f>
        <v/>
      </c>
      <c r="G352" s="38">
        <f>IF(A352&lt;=duree_credit*12,mensualite_ha+E352,0)</f>
        <v/>
      </c>
      <c r="H352" s="38">
        <f>C352-F352</f>
        <v/>
      </c>
    </row>
    <row r="353">
      <c r="A353" s="40" t="n">
        <v>350</v>
      </c>
      <c r="B353" s="40">
        <f>ROUNDUP(A353/12,0)</f>
        <v/>
      </c>
      <c r="C353" s="41">
        <f>IF(A353&lt;=duree_credit*12,H352,0)</f>
        <v/>
      </c>
      <c r="D353" s="41">
        <f>IF(A353&lt;=duree_credit*12,C353*taux_credit/12,0)</f>
        <v/>
      </c>
      <c r="E353" s="41">
        <f>IF(A353&lt;=duree_credit*12,assurance_mens,0)</f>
        <v/>
      </c>
      <c r="F353" s="41">
        <f>IF(A353&lt;=duree_credit*12,mensualite_ha-D353,0)</f>
        <v/>
      </c>
      <c r="G353" s="41">
        <f>IF(A353&lt;=duree_credit*12,mensualite_ha+E353,0)</f>
        <v/>
      </c>
      <c r="H353" s="41">
        <f>C353-F353</f>
        <v/>
      </c>
    </row>
    <row r="354">
      <c r="A354" s="37" t="n">
        <v>351</v>
      </c>
      <c r="B354" s="37">
        <f>ROUNDUP(A354/12,0)</f>
        <v/>
      </c>
      <c r="C354" s="38">
        <f>IF(A354&lt;=duree_credit*12,H353,0)</f>
        <v/>
      </c>
      <c r="D354" s="38">
        <f>IF(A354&lt;=duree_credit*12,C354*taux_credit/12,0)</f>
        <v/>
      </c>
      <c r="E354" s="38">
        <f>IF(A354&lt;=duree_credit*12,assurance_mens,0)</f>
        <v/>
      </c>
      <c r="F354" s="38">
        <f>IF(A354&lt;=duree_credit*12,mensualite_ha-D354,0)</f>
        <v/>
      </c>
      <c r="G354" s="38">
        <f>IF(A354&lt;=duree_credit*12,mensualite_ha+E354,0)</f>
        <v/>
      </c>
      <c r="H354" s="38">
        <f>C354-F354</f>
        <v/>
      </c>
    </row>
    <row r="355">
      <c r="A355" s="40" t="n">
        <v>352</v>
      </c>
      <c r="B355" s="40">
        <f>ROUNDUP(A355/12,0)</f>
        <v/>
      </c>
      <c r="C355" s="41">
        <f>IF(A355&lt;=duree_credit*12,H354,0)</f>
        <v/>
      </c>
      <c r="D355" s="41">
        <f>IF(A355&lt;=duree_credit*12,C355*taux_credit/12,0)</f>
        <v/>
      </c>
      <c r="E355" s="41">
        <f>IF(A355&lt;=duree_credit*12,assurance_mens,0)</f>
        <v/>
      </c>
      <c r="F355" s="41">
        <f>IF(A355&lt;=duree_credit*12,mensualite_ha-D355,0)</f>
        <v/>
      </c>
      <c r="G355" s="41">
        <f>IF(A355&lt;=duree_credit*12,mensualite_ha+E355,0)</f>
        <v/>
      </c>
      <c r="H355" s="41">
        <f>C355-F355</f>
        <v/>
      </c>
    </row>
    <row r="356">
      <c r="A356" s="37" t="n">
        <v>353</v>
      </c>
      <c r="B356" s="37">
        <f>ROUNDUP(A356/12,0)</f>
        <v/>
      </c>
      <c r="C356" s="38">
        <f>IF(A356&lt;=duree_credit*12,H355,0)</f>
        <v/>
      </c>
      <c r="D356" s="38">
        <f>IF(A356&lt;=duree_credit*12,C356*taux_credit/12,0)</f>
        <v/>
      </c>
      <c r="E356" s="38">
        <f>IF(A356&lt;=duree_credit*12,assurance_mens,0)</f>
        <v/>
      </c>
      <c r="F356" s="38">
        <f>IF(A356&lt;=duree_credit*12,mensualite_ha-D356,0)</f>
        <v/>
      </c>
      <c r="G356" s="38">
        <f>IF(A356&lt;=duree_credit*12,mensualite_ha+E356,0)</f>
        <v/>
      </c>
      <c r="H356" s="38">
        <f>C356-F356</f>
        <v/>
      </c>
    </row>
    <row r="357">
      <c r="A357" s="40" t="n">
        <v>354</v>
      </c>
      <c r="B357" s="40">
        <f>ROUNDUP(A357/12,0)</f>
        <v/>
      </c>
      <c r="C357" s="41">
        <f>IF(A357&lt;=duree_credit*12,H356,0)</f>
        <v/>
      </c>
      <c r="D357" s="41">
        <f>IF(A357&lt;=duree_credit*12,C357*taux_credit/12,0)</f>
        <v/>
      </c>
      <c r="E357" s="41">
        <f>IF(A357&lt;=duree_credit*12,assurance_mens,0)</f>
        <v/>
      </c>
      <c r="F357" s="41">
        <f>IF(A357&lt;=duree_credit*12,mensualite_ha-D357,0)</f>
        <v/>
      </c>
      <c r="G357" s="41">
        <f>IF(A357&lt;=duree_credit*12,mensualite_ha+E357,0)</f>
        <v/>
      </c>
      <c r="H357" s="41">
        <f>C357-F357</f>
        <v/>
      </c>
    </row>
    <row r="358">
      <c r="A358" s="37" t="n">
        <v>355</v>
      </c>
      <c r="B358" s="37">
        <f>ROUNDUP(A358/12,0)</f>
        <v/>
      </c>
      <c r="C358" s="38">
        <f>IF(A358&lt;=duree_credit*12,H357,0)</f>
        <v/>
      </c>
      <c r="D358" s="38">
        <f>IF(A358&lt;=duree_credit*12,C358*taux_credit/12,0)</f>
        <v/>
      </c>
      <c r="E358" s="38">
        <f>IF(A358&lt;=duree_credit*12,assurance_mens,0)</f>
        <v/>
      </c>
      <c r="F358" s="38">
        <f>IF(A358&lt;=duree_credit*12,mensualite_ha-D358,0)</f>
        <v/>
      </c>
      <c r="G358" s="38">
        <f>IF(A358&lt;=duree_credit*12,mensualite_ha+E358,0)</f>
        <v/>
      </c>
      <c r="H358" s="38">
        <f>C358-F358</f>
        <v/>
      </c>
    </row>
    <row r="359">
      <c r="A359" s="40" t="n">
        <v>356</v>
      </c>
      <c r="B359" s="40">
        <f>ROUNDUP(A359/12,0)</f>
        <v/>
      </c>
      <c r="C359" s="41">
        <f>IF(A359&lt;=duree_credit*12,H358,0)</f>
        <v/>
      </c>
      <c r="D359" s="41">
        <f>IF(A359&lt;=duree_credit*12,C359*taux_credit/12,0)</f>
        <v/>
      </c>
      <c r="E359" s="41">
        <f>IF(A359&lt;=duree_credit*12,assurance_mens,0)</f>
        <v/>
      </c>
      <c r="F359" s="41">
        <f>IF(A359&lt;=duree_credit*12,mensualite_ha-D359,0)</f>
        <v/>
      </c>
      <c r="G359" s="41">
        <f>IF(A359&lt;=duree_credit*12,mensualite_ha+E359,0)</f>
        <v/>
      </c>
      <c r="H359" s="41">
        <f>C359-F359</f>
        <v/>
      </c>
    </row>
    <row r="360">
      <c r="A360" s="37" t="n">
        <v>357</v>
      </c>
      <c r="B360" s="37">
        <f>ROUNDUP(A360/12,0)</f>
        <v/>
      </c>
      <c r="C360" s="38">
        <f>IF(A360&lt;=duree_credit*12,H359,0)</f>
        <v/>
      </c>
      <c r="D360" s="38">
        <f>IF(A360&lt;=duree_credit*12,C360*taux_credit/12,0)</f>
        <v/>
      </c>
      <c r="E360" s="38">
        <f>IF(A360&lt;=duree_credit*12,assurance_mens,0)</f>
        <v/>
      </c>
      <c r="F360" s="38">
        <f>IF(A360&lt;=duree_credit*12,mensualite_ha-D360,0)</f>
        <v/>
      </c>
      <c r="G360" s="38">
        <f>IF(A360&lt;=duree_credit*12,mensualite_ha+E360,0)</f>
        <v/>
      </c>
      <c r="H360" s="38">
        <f>C360-F360</f>
        <v/>
      </c>
    </row>
    <row r="361">
      <c r="A361" s="40" t="n">
        <v>358</v>
      </c>
      <c r="B361" s="40">
        <f>ROUNDUP(A361/12,0)</f>
        <v/>
      </c>
      <c r="C361" s="41">
        <f>IF(A361&lt;=duree_credit*12,H360,0)</f>
        <v/>
      </c>
      <c r="D361" s="41">
        <f>IF(A361&lt;=duree_credit*12,C361*taux_credit/12,0)</f>
        <v/>
      </c>
      <c r="E361" s="41">
        <f>IF(A361&lt;=duree_credit*12,assurance_mens,0)</f>
        <v/>
      </c>
      <c r="F361" s="41">
        <f>IF(A361&lt;=duree_credit*12,mensualite_ha-D361,0)</f>
        <v/>
      </c>
      <c r="G361" s="41">
        <f>IF(A361&lt;=duree_credit*12,mensualite_ha+E361,0)</f>
        <v/>
      </c>
      <c r="H361" s="41">
        <f>C361-F361</f>
        <v/>
      </c>
    </row>
    <row r="362">
      <c r="A362" s="37" t="n">
        <v>359</v>
      </c>
      <c r="B362" s="37">
        <f>ROUNDUP(A362/12,0)</f>
        <v/>
      </c>
      <c r="C362" s="38">
        <f>IF(A362&lt;=duree_credit*12,H361,0)</f>
        <v/>
      </c>
      <c r="D362" s="38">
        <f>IF(A362&lt;=duree_credit*12,C362*taux_credit/12,0)</f>
        <v/>
      </c>
      <c r="E362" s="38">
        <f>IF(A362&lt;=duree_credit*12,assurance_mens,0)</f>
        <v/>
      </c>
      <c r="F362" s="38">
        <f>IF(A362&lt;=duree_credit*12,mensualite_ha-D362,0)</f>
        <v/>
      </c>
      <c r="G362" s="38">
        <f>IF(A362&lt;=duree_credit*12,mensualite_ha+E362,0)</f>
        <v/>
      </c>
      <c r="H362" s="38">
        <f>C362-F362</f>
        <v/>
      </c>
    </row>
    <row r="363">
      <c r="A363" s="40" t="n">
        <v>360</v>
      </c>
      <c r="B363" s="40">
        <f>ROUNDUP(A363/12,0)</f>
        <v/>
      </c>
      <c r="C363" s="41">
        <f>IF(A363&lt;=duree_credit*12,H362,0)</f>
        <v/>
      </c>
      <c r="D363" s="41">
        <f>IF(A363&lt;=duree_credit*12,C363*taux_credit/12,0)</f>
        <v/>
      </c>
      <c r="E363" s="41">
        <f>IF(A363&lt;=duree_credit*12,assurance_mens,0)</f>
        <v/>
      </c>
      <c r="F363" s="41">
        <f>IF(A363&lt;=duree_credit*12,mensualite_ha-D363,0)</f>
        <v/>
      </c>
      <c r="G363" s="41">
        <f>IF(A363&lt;=duree_credit*12,mensualite_ha+E363,0)</f>
        <v/>
      </c>
      <c r="H363" s="41">
        <f>C363-F363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2:F22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0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2" ht="30" customHeight="1">
      <c r="A2" s="1" t="inlineStr">
        <is>
          <t xml:space="preserve">  Comparatif des régimes fiscaux (année 1)</t>
        </is>
      </c>
    </row>
    <row r="3" ht="18" customHeight="1">
      <c r="A3" s="2" t="inlineStr">
        <is>
          <t>Sur la base de la 1ʳᵉ année d'exploitation — choisissez le plus avantageux dans « Paramètres »</t>
        </is>
      </c>
    </row>
    <row r="5" ht="22" customHeight="1">
      <c r="B5" s="12" t="inlineStr">
        <is>
          <t>Éléments de l'année 1</t>
        </is>
      </c>
    </row>
    <row r="6">
      <c r="B6" s="6" t="inlineStr">
        <is>
          <t>Loyers encaissés</t>
        </is>
      </c>
      <c r="C6" s="15">
        <f>Projection!C4</f>
        <v/>
      </c>
    </row>
    <row r="7">
      <c r="B7" s="6" t="inlineStr">
        <is>
          <t>Charges déductibles</t>
        </is>
      </c>
      <c r="C7" s="15">
        <f>Projection!D4</f>
        <v/>
      </c>
    </row>
    <row r="8">
      <c r="B8" s="6" t="inlineStr">
        <is>
          <t>Intérêts d'emprunt + assurance</t>
        </is>
      </c>
      <c r="C8" s="15">
        <f>Projection!E4+Projection!F4</f>
        <v/>
      </c>
    </row>
    <row r="9">
      <c r="B9" s="6" t="inlineStr">
        <is>
          <t>Amortissements théoriques (LMNP)</t>
        </is>
      </c>
      <c r="C9" s="15">
        <f>Projection!P4</f>
        <v/>
      </c>
    </row>
    <row r="11" ht="22" customHeight="1">
      <c r="B11" s="12" t="inlineStr">
        <is>
          <t>Impôt annuel selon le régime</t>
        </is>
      </c>
    </row>
    <row r="12">
      <c r="B12" s="42" t="inlineStr">
        <is>
          <t>Régime</t>
        </is>
      </c>
      <c r="C12" s="42" t="inlineStr">
        <is>
          <t>Base imposable</t>
        </is>
      </c>
      <c r="D12" s="42" t="inlineStr">
        <is>
          <t>IR (TMI)</t>
        </is>
      </c>
      <c r="E12" s="42" t="inlineStr">
        <is>
          <t>Prélèv. sociaux</t>
        </is>
      </c>
      <c r="F12" s="42" t="inlineStr">
        <is>
          <t>Impôt total</t>
        </is>
      </c>
    </row>
    <row r="13">
      <c r="B13" s="43" t="inlineStr">
        <is>
          <t>Micro-foncier (nu)</t>
        </is>
      </c>
      <c r="C13" s="44">
        <f>Projection!C4*0.7</f>
        <v/>
      </c>
      <c r="D13" s="44">
        <f>IF(C13&gt;=0,C13*tmi,MAX(C13,-10700)*tmi)</f>
        <v/>
      </c>
      <c r="E13" s="44">
        <f>MAX(0,C13)*ps_pct</f>
        <v/>
      </c>
      <c r="F13" s="44">
        <f>D13+E13</f>
        <v/>
      </c>
    </row>
    <row r="14">
      <c r="B14" s="43" t="inlineStr">
        <is>
          <t>Réel foncier (nu)</t>
        </is>
      </c>
      <c r="C14" s="44">
        <f>Projection!C4-Projection!D4-Projection!E4-Projection!F4</f>
        <v/>
      </c>
      <c r="D14" s="44">
        <f>IF(C14&gt;=0,C14*tmi,MAX(C14,-10700)*tmi)</f>
        <v/>
      </c>
      <c r="E14" s="44">
        <f>MAX(0,C14)*ps_pct</f>
        <v/>
      </c>
      <c r="F14" s="44">
        <f>D14+E14</f>
        <v/>
      </c>
    </row>
    <row r="15">
      <c r="B15" s="43" t="inlineStr">
        <is>
          <t>Micro-BIC (meublé)</t>
        </is>
      </c>
      <c r="C15" s="44">
        <f>Projection!C4*0.5</f>
        <v/>
      </c>
      <c r="D15" s="44">
        <f>IF(C15&gt;=0,C15*tmi,MAX(C15,-10700)*tmi)</f>
        <v/>
      </c>
      <c r="E15" s="44">
        <f>MAX(0,C15)*ps_pct</f>
        <v/>
      </c>
      <c r="F15" s="44">
        <f>D15+E15</f>
        <v/>
      </c>
    </row>
    <row r="16">
      <c r="B16" s="43" t="inlineStr">
        <is>
          <t>LMNP réel (meublé)</t>
        </is>
      </c>
      <c r="C16" s="44">
        <f>MAX(0,Projection!C4-Projection!D4-Projection!E4-Projection!F4-Projection!P4)</f>
        <v/>
      </c>
      <c r="D16" s="44">
        <f>IF(C16&gt;=0,C16*tmi,MAX(C16,-10700)*tmi)</f>
        <v/>
      </c>
      <c r="E16" s="44">
        <f>MAX(0,C16)*ps_pct</f>
        <v/>
      </c>
      <c r="F16" s="44">
        <f>D16+E16</f>
        <v/>
      </c>
    </row>
    <row r="18">
      <c r="B18" s="45" t="inlineStr">
        <is>
          <t>Régime le moins taxé (année 1)</t>
        </is>
      </c>
      <c r="C18" s="46">
        <f>INDEX(B13:B16,MATCH(MIN(F13:F16),F13:F16,0))</f>
        <v/>
      </c>
    </row>
    <row r="20">
      <c r="B20" s="11" t="inlineStr">
        <is>
          <t>Note : le déficit foncier (réel nu) est imputable sur le revenu global dans la limite de 10 700 €/an (hors intérêts) ; en LMNP réel, l'amortissement non utilisé est reporté sans limite de durée (voir colonnes « Report amort » de l'onglet Projection). Le micro-foncier exige des loyers nus &lt; 15 000 €/an, le micro-BIC &lt; 77 700 €/an.</t>
        </is>
      </c>
    </row>
    <row r="21"/>
    <row r="22"/>
  </sheetData>
  <mergeCells count="6">
    <mergeCell ref="A2:F2"/>
    <mergeCell ref="C18:F18"/>
    <mergeCell ref="B20:F22"/>
    <mergeCell ref="B11:F11"/>
    <mergeCell ref="B5:F5"/>
    <mergeCell ref="A3:F3"/>
  </mergeCells>
  <conditionalFormatting sqref="F13:F16">
    <cfRule type="expression" priority="1" dxfId="2">
      <formula>F13=MIN($F$13:$F$16)</formula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R28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 ht="30" customHeight="1">
      <c r="A1" s="1" t="inlineStr">
        <is>
          <t xml:space="preserve">  Imposition de la plus-value à la revente</t>
        </is>
      </c>
    </row>
    <row r="2" ht="18" customHeight="1">
      <c r="A2" s="2" t="inlineStr">
        <is>
          <t>Abattements pour durée de détention — IR 19 % + prélèvements sociaux 17,2 %</t>
        </is>
      </c>
    </row>
    <row r="3">
      <c r="A3" s="47" t="inlineStr">
        <is>
          <t>Prix de revente estimé (année horizon)</t>
        </is>
      </c>
      <c r="B3" s="48">
        <f>prix_bien*(1+reval_bien)^horizon</f>
        <v/>
      </c>
    </row>
    <row r="4">
      <c r="A4" s="47" t="inlineStr">
        <is>
          <t>Prix d'acquisition corrigé</t>
        </is>
      </c>
      <c r="B4" s="48">
        <f>prix_bien+frais_notaire+travaux</f>
        <v/>
      </c>
      <c r="C4" s="49" t="inlineStr">
        <is>
          <t>prix + notaire + travaux</t>
        </is>
      </c>
    </row>
    <row r="5">
      <c r="A5" s="50" t="inlineStr">
        <is>
          <t>Plus-value brute</t>
        </is>
      </c>
      <c r="B5" s="51">
        <f>MAX(0,B3-B4)</f>
        <v/>
      </c>
    </row>
    <row r="7" ht="22" customHeight="1">
      <c r="B7" s="12" t="inlineStr">
        <is>
          <t>Plus-value nette selon l'année de revente</t>
        </is>
      </c>
    </row>
    <row r="8">
      <c r="A8" s="35" t="inlineStr">
        <is>
          <t>Durée de détention (ans)</t>
        </is>
      </c>
      <c r="B8" s="35" t="n">
        <v>1</v>
      </c>
      <c r="C8" s="35" t="n">
        <v>2</v>
      </c>
      <c r="D8" s="35" t="n">
        <v>3</v>
      </c>
      <c r="E8" s="35" t="n">
        <v>4</v>
      </c>
      <c r="F8" s="35" t="n">
        <v>5</v>
      </c>
      <c r="G8" s="35" t="n">
        <v>6</v>
      </c>
      <c r="H8" s="35" t="n">
        <v>7</v>
      </c>
      <c r="I8" s="35" t="n">
        <v>8</v>
      </c>
      <c r="J8" s="35" t="n">
        <v>9</v>
      </c>
      <c r="K8" s="35" t="n">
        <v>10</v>
      </c>
      <c r="L8" s="35" t="n">
        <v>11</v>
      </c>
      <c r="M8" s="35" t="n">
        <v>12</v>
      </c>
      <c r="N8" s="35" t="n">
        <v>13</v>
      </c>
    </row>
    <row r="9">
      <c r="A9" s="52" t="inlineStr">
        <is>
          <t>Abattement IR</t>
        </is>
      </c>
      <c r="B9" s="53">
        <f>IF(1&gt;=22,1,IF(1&gt;=6,(MIN(1,21)-5)*0.06+IF(1&gt;=22,0.04,0),0))</f>
        <v/>
      </c>
      <c r="C9" s="53">
        <f>IF(2&gt;=22,1,IF(2&gt;=6,(MIN(2,21)-5)*0.06+IF(2&gt;=22,0.04,0),0))</f>
        <v/>
      </c>
      <c r="D9" s="53">
        <f>IF(3&gt;=22,1,IF(3&gt;=6,(MIN(3,21)-5)*0.06+IF(3&gt;=22,0.04,0),0))</f>
        <v/>
      </c>
      <c r="E9" s="53">
        <f>IF(4&gt;=22,1,IF(4&gt;=6,(MIN(4,21)-5)*0.06+IF(4&gt;=22,0.04,0),0))</f>
        <v/>
      </c>
      <c r="F9" s="53">
        <f>IF(5&gt;=22,1,IF(5&gt;=6,(MIN(5,21)-5)*0.06+IF(5&gt;=22,0.04,0),0))</f>
        <v/>
      </c>
      <c r="G9" s="53">
        <f>IF(6&gt;=22,1,IF(6&gt;=6,(MIN(6,21)-5)*0.06+IF(6&gt;=22,0.04,0),0))</f>
        <v/>
      </c>
      <c r="H9" s="53">
        <f>IF(7&gt;=22,1,IF(7&gt;=6,(MIN(7,21)-5)*0.06+IF(7&gt;=22,0.04,0),0))</f>
        <v/>
      </c>
      <c r="I9" s="53">
        <f>IF(8&gt;=22,1,IF(8&gt;=6,(MIN(8,21)-5)*0.06+IF(8&gt;=22,0.04,0),0))</f>
        <v/>
      </c>
      <c r="J9" s="53">
        <f>IF(9&gt;=22,1,IF(9&gt;=6,(MIN(9,21)-5)*0.06+IF(9&gt;=22,0.04,0),0))</f>
        <v/>
      </c>
      <c r="K9" s="53">
        <f>IF(10&gt;=22,1,IF(10&gt;=6,(MIN(10,21)-5)*0.06+IF(10&gt;=22,0.04,0),0))</f>
        <v/>
      </c>
      <c r="L9" s="53">
        <f>IF(11&gt;=22,1,IF(11&gt;=6,(MIN(11,21)-5)*0.06+IF(11&gt;=22,0.04,0),0))</f>
        <v/>
      </c>
      <c r="M9" s="53">
        <f>IF(12&gt;=22,1,IF(12&gt;=6,(MIN(12,21)-5)*0.06+IF(12&gt;=22,0.04,0),0))</f>
        <v/>
      </c>
      <c r="N9" s="53">
        <f>IF(13&gt;=22,1,IF(13&gt;=6,(MIN(13,21)-5)*0.06+IF(13&gt;=22,0.04,0),0))</f>
        <v/>
      </c>
    </row>
    <row r="10">
      <c r="A10" s="52" t="inlineStr">
        <is>
          <t>Base imposable IR</t>
        </is>
      </c>
      <c r="B10" s="38">
        <f>$B$5*(1-B9)</f>
        <v/>
      </c>
      <c r="C10" s="38">
        <f>$B$5*(1-C9)</f>
        <v/>
      </c>
      <c r="D10" s="38">
        <f>$B$5*(1-D9)</f>
        <v/>
      </c>
      <c r="E10" s="38">
        <f>$B$5*(1-E9)</f>
        <v/>
      </c>
      <c r="F10" s="38">
        <f>$B$5*(1-F9)</f>
        <v/>
      </c>
      <c r="G10" s="38">
        <f>$B$5*(1-G9)</f>
        <v/>
      </c>
      <c r="H10" s="38">
        <f>$B$5*(1-H9)</f>
        <v/>
      </c>
      <c r="I10" s="38">
        <f>$B$5*(1-I9)</f>
        <v/>
      </c>
      <c r="J10" s="38">
        <f>$B$5*(1-J9)</f>
        <v/>
      </c>
      <c r="K10" s="38">
        <f>$B$5*(1-K9)</f>
        <v/>
      </c>
      <c r="L10" s="38">
        <f>$B$5*(1-L9)</f>
        <v/>
      </c>
      <c r="M10" s="38">
        <f>$B$5*(1-M9)</f>
        <v/>
      </c>
      <c r="N10" s="38">
        <f>$B$5*(1-N9)</f>
        <v/>
      </c>
    </row>
    <row r="11">
      <c r="A11" s="52" t="inlineStr">
        <is>
          <t>IR (19 %)</t>
        </is>
      </c>
      <c r="B11" s="38">
        <f>B10*0.19</f>
        <v/>
      </c>
      <c r="C11" s="38">
        <f>C10*0.19</f>
        <v/>
      </c>
      <c r="D11" s="38">
        <f>D10*0.19</f>
        <v/>
      </c>
      <c r="E11" s="38">
        <f>E10*0.19</f>
        <v/>
      </c>
      <c r="F11" s="38">
        <f>F10*0.19</f>
        <v/>
      </c>
      <c r="G11" s="38">
        <f>G10*0.19</f>
        <v/>
      </c>
      <c r="H11" s="38">
        <f>H10*0.19</f>
        <v/>
      </c>
      <c r="I11" s="38">
        <f>I10*0.19</f>
        <v/>
      </c>
      <c r="J11" s="38">
        <f>J10*0.19</f>
        <v/>
      </c>
      <c r="K11" s="38">
        <f>K10*0.19</f>
        <v/>
      </c>
      <c r="L11" s="38">
        <f>L10*0.19</f>
        <v/>
      </c>
      <c r="M11" s="38">
        <f>M10*0.19</f>
        <v/>
      </c>
      <c r="N11" s="38">
        <f>N10*0.19</f>
        <v/>
      </c>
    </row>
    <row r="12">
      <c r="A12" s="52" t="inlineStr">
        <is>
          <t>Abattement prélèv. sociaux</t>
        </is>
      </c>
      <c r="B12" s="53">
        <f>IF(1&gt;=30,1,IF(1&gt;=23,(21-5)*0.0165+0.016+(MIN(1,30)-22)*0.09,IF(1&gt;=22,(21-5)*0.0165+0.016,IF(1&gt;=6,(MIN(1,21)-5)*0.0165,0))))</f>
        <v/>
      </c>
      <c r="C12" s="53">
        <f>IF(2&gt;=30,1,IF(2&gt;=23,(21-5)*0.0165+0.016+(MIN(2,30)-22)*0.09,IF(2&gt;=22,(21-5)*0.0165+0.016,IF(2&gt;=6,(MIN(2,21)-5)*0.0165,0))))</f>
        <v/>
      </c>
      <c r="D12" s="53">
        <f>IF(3&gt;=30,1,IF(3&gt;=23,(21-5)*0.0165+0.016+(MIN(3,30)-22)*0.09,IF(3&gt;=22,(21-5)*0.0165+0.016,IF(3&gt;=6,(MIN(3,21)-5)*0.0165,0))))</f>
        <v/>
      </c>
      <c r="E12" s="53">
        <f>IF(4&gt;=30,1,IF(4&gt;=23,(21-5)*0.0165+0.016+(MIN(4,30)-22)*0.09,IF(4&gt;=22,(21-5)*0.0165+0.016,IF(4&gt;=6,(MIN(4,21)-5)*0.0165,0))))</f>
        <v/>
      </c>
      <c r="F12" s="53">
        <f>IF(5&gt;=30,1,IF(5&gt;=23,(21-5)*0.0165+0.016+(MIN(5,30)-22)*0.09,IF(5&gt;=22,(21-5)*0.0165+0.016,IF(5&gt;=6,(MIN(5,21)-5)*0.0165,0))))</f>
        <v/>
      </c>
      <c r="G12" s="53">
        <f>IF(6&gt;=30,1,IF(6&gt;=23,(21-5)*0.0165+0.016+(MIN(6,30)-22)*0.09,IF(6&gt;=22,(21-5)*0.0165+0.016,IF(6&gt;=6,(MIN(6,21)-5)*0.0165,0))))</f>
        <v/>
      </c>
      <c r="H12" s="53">
        <f>IF(7&gt;=30,1,IF(7&gt;=23,(21-5)*0.0165+0.016+(MIN(7,30)-22)*0.09,IF(7&gt;=22,(21-5)*0.0165+0.016,IF(7&gt;=6,(MIN(7,21)-5)*0.0165,0))))</f>
        <v/>
      </c>
      <c r="I12" s="53">
        <f>IF(8&gt;=30,1,IF(8&gt;=23,(21-5)*0.0165+0.016+(MIN(8,30)-22)*0.09,IF(8&gt;=22,(21-5)*0.0165+0.016,IF(8&gt;=6,(MIN(8,21)-5)*0.0165,0))))</f>
        <v/>
      </c>
      <c r="J12" s="53">
        <f>IF(9&gt;=30,1,IF(9&gt;=23,(21-5)*0.0165+0.016+(MIN(9,30)-22)*0.09,IF(9&gt;=22,(21-5)*0.0165+0.016,IF(9&gt;=6,(MIN(9,21)-5)*0.0165,0))))</f>
        <v/>
      </c>
      <c r="K12" s="53">
        <f>IF(10&gt;=30,1,IF(10&gt;=23,(21-5)*0.0165+0.016+(MIN(10,30)-22)*0.09,IF(10&gt;=22,(21-5)*0.0165+0.016,IF(10&gt;=6,(MIN(10,21)-5)*0.0165,0))))</f>
        <v/>
      </c>
      <c r="L12" s="53">
        <f>IF(11&gt;=30,1,IF(11&gt;=23,(21-5)*0.0165+0.016+(MIN(11,30)-22)*0.09,IF(11&gt;=22,(21-5)*0.0165+0.016,IF(11&gt;=6,(MIN(11,21)-5)*0.0165,0))))</f>
        <v/>
      </c>
      <c r="M12" s="53">
        <f>IF(12&gt;=30,1,IF(12&gt;=23,(21-5)*0.0165+0.016+(MIN(12,30)-22)*0.09,IF(12&gt;=22,(21-5)*0.0165+0.016,IF(12&gt;=6,(MIN(12,21)-5)*0.0165,0))))</f>
        <v/>
      </c>
      <c r="N12" s="53">
        <f>IF(13&gt;=30,1,IF(13&gt;=23,(21-5)*0.0165+0.016+(MIN(13,30)-22)*0.09,IF(13&gt;=22,(21-5)*0.0165+0.016,IF(13&gt;=6,(MIN(13,21)-5)*0.0165,0))))</f>
        <v/>
      </c>
    </row>
    <row r="13">
      <c r="A13" s="52" t="inlineStr">
        <is>
          <t>Base imposable PS</t>
        </is>
      </c>
      <c r="B13" s="38">
        <f>$B$5*(1-B12)</f>
        <v/>
      </c>
      <c r="C13" s="38">
        <f>$B$5*(1-C12)</f>
        <v/>
      </c>
      <c r="D13" s="38">
        <f>$B$5*(1-D12)</f>
        <v/>
      </c>
      <c r="E13" s="38">
        <f>$B$5*(1-E12)</f>
        <v/>
      </c>
      <c r="F13" s="38">
        <f>$B$5*(1-F12)</f>
        <v/>
      </c>
      <c r="G13" s="38">
        <f>$B$5*(1-G12)</f>
        <v/>
      </c>
      <c r="H13" s="38">
        <f>$B$5*(1-H12)</f>
        <v/>
      </c>
      <c r="I13" s="38">
        <f>$B$5*(1-I12)</f>
        <v/>
      </c>
      <c r="J13" s="38">
        <f>$B$5*(1-J12)</f>
        <v/>
      </c>
      <c r="K13" s="38">
        <f>$B$5*(1-K12)</f>
        <v/>
      </c>
      <c r="L13" s="38">
        <f>$B$5*(1-L12)</f>
        <v/>
      </c>
      <c r="M13" s="38">
        <f>$B$5*(1-M12)</f>
        <v/>
      </c>
      <c r="N13" s="38">
        <f>$B$5*(1-N12)</f>
        <v/>
      </c>
    </row>
    <row r="14">
      <c r="A14" s="52" t="inlineStr">
        <is>
          <t>Prélèvements sociaux (17,2 %)</t>
        </is>
      </c>
      <c r="B14" s="38">
        <f>B13*0.172</f>
        <v/>
      </c>
      <c r="C14" s="38">
        <f>C13*0.172</f>
        <v/>
      </c>
      <c r="D14" s="38">
        <f>D13*0.172</f>
        <v/>
      </c>
      <c r="E14" s="38">
        <f>E13*0.172</f>
        <v/>
      </c>
      <c r="F14" s="38">
        <f>F13*0.172</f>
        <v/>
      </c>
      <c r="G14" s="38">
        <f>G13*0.172</f>
        <v/>
      </c>
      <c r="H14" s="38">
        <f>H13*0.172</f>
        <v/>
      </c>
      <c r="I14" s="38">
        <f>I13*0.172</f>
        <v/>
      </c>
      <c r="J14" s="38">
        <f>J13*0.172</f>
        <v/>
      </c>
      <c r="K14" s="38">
        <f>K13*0.172</f>
        <v/>
      </c>
      <c r="L14" s="38">
        <f>L13*0.172</f>
        <v/>
      </c>
      <c r="M14" s="38">
        <f>M13*0.172</f>
        <v/>
      </c>
      <c r="N14" s="38">
        <f>N13*0.172</f>
        <v/>
      </c>
    </row>
    <row r="15">
      <c r="A15" s="54" t="inlineStr">
        <is>
          <t>Impôt total plus-value</t>
        </is>
      </c>
      <c r="B15" s="55">
        <f>B11+B14</f>
        <v/>
      </c>
      <c r="C15" s="55">
        <f>C11+C14</f>
        <v/>
      </c>
      <c r="D15" s="55">
        <f>D11+D14</f>
        <v/>
      </c>
      <c r="E15" s="55">
        <f>E11+E14</f>
        <v/>
      </c>
      <c r="F15" s="55">
        <f>F11+F14</f>
        <v/>
      </c>
      <c r="G15" s="55">
        <f>G11+G14</f>
        <v/>
      </c>
      <c r="H15" s="55">
        <f>H11+H14</f>
        <v/>
      </c>
      <c r="I15" s="55">
        <f>I11+I14</f>
        <v/>
      </c>
      <c r="J15" s="55">
        <f>J11+J14</f>
        <v/>
      </c>
      <c r="K15" s="55">
        <f>K11+K14</f>
        <v/>
      </c>
      <c r="L15" s="55">
        <f>L11+L14</f>
        <v/>
      </c>
      <c r="M15" s="55">
        <f>M11+M14</f>
        <v/>
      </c>
      <c r="N15" s="55">
        <f>N11+N14</f>
        <v/>
      </c>
    </row>
    <row r="16">
      <c r="A16" s="54" t="inlineStr">
        <is>
          <t>Plus-value nette après impôt</t>
        </is>
      </c>
      <c r="B16" s="55">
        <f>$B$5-B15</f>
        <v/>
      </c>
      <c r="C16" s="55">
        <f>$B$5-C15</f>
        <v/>
      </c>
      <c r="D16" s="55">
        <f>$B$5-D15</f>
        <v/>
      </c>
      <c r="E16" s="55">
        <f>$B$5-E15</f>
        <v/>
      </c>
      <c r="F16" s="55">
        <f>$B$5-F15</f>
        <v/>
      </c>
      <c r="G16" s="55">
        <f>$B$5-G15</f>
        <v/>
      </c>
      <c r="H16" s="55">
        <f>$B$5-H15</f>
        <v/>
      </c>
      <c r="I16" s="55">
        <f>$B$5-I15</f>
        <v/>
      </c>
      <c r="J16" s="55">
        <f>$B$5-J15</f>
        <v/>
      </c>
      <c r="K16" s="55">
        <f>$B$5-K15</f>
        <v/>
      </c>
      <c r="L16" s="55">
        <f>$B$5-L15</f>
        <v/>
      </c>
      <c r="M16" s="55">
        <f>$B$5-M15</f>
        <v/>
      </c>
      <c r="N16" s="55">
        <f>$B$5-N15</f>
        <v/>
      </c>
    </row>
    <row r="18">
      <c r="A18" s="35" t="inlineStr">
        <is>
          <t>Durée de détention (ans)</t>
        </is>
      </c>
      <c r="B18" s="35" t="n">
        <v>14</v>
      </c>
      <c r="C18" s="35" t="n">
        <v>15</v>
      </c>
      <c r="D18" s="35" t="n">
        <v>16</v>
      </c>
      <c r="E18" s="35" t="n">
        <v>17</v>
      </c>
      <c r="F18" s="35" t="n">
        <v>18</v>
      </c>
      <c r="G18" s="35" t="n">
        <v>19</v>
      </c>
      <c r="H18" s="35" t="n">
        <v>20</v>
      </c>
      <c r="I18" s="35" t="n">
        <v>21</v>
      </c>
      <c r="J18" s="35" t="n">
        <v>22</v>
      </c>
      <c r="K18" s="35" t="n">
        <v>23</v>
      </c>
      <c r="L18" s="35" t="n">
        <v>24</v>
      </c>
      <c r="M18" s="35" t="n">
        <v>25</v>
      </c>
      <c r="N18" s="35" t="n">
        <v>26</v>
      </c>
      <c r="O18" s="35" t="n">
        <v>27</v>
      </c>
      <c r="P18" s="35" t="n">
        <v>28</v>
      </c>
      <c r="Q18" s="35" t="n">
        <v>29</v>
      </c>
      <c r="R18" s="35" t="n">
        <v>30</v>
      </c>
    </row>
    <row r="19">
      <c r="A19" s="52" t="inlineStr">
        <is>
          <t>Abattement IR</t>
        </is>
      </c>
      <c r="B19" s="53">
        <f>IF(14&gt;=22,1,IF(14&gt;=6,(MIN(14,21)-5)*0.06+IF(14&gt;=22,0.04,0),0))</f>
        <v/>
      </c>
      <c r="C19" s="53">
        <f>IF(15&gt;=22,1,IF(15&gt;=6,(MIN(15,21)-5)*0.06+IF(15&gt;=22,0.04,0),0))</f>
        <v/>
      </c>
      <c r="D19" s="53">
        <f>IF(16&gt;=22,1,IF(16&gt;=6,(MIN(16,21)-5)*0.06+IF(16&gt;=22,0.04,0),0))</f>
        <v/>
      </c>
      <c r="E19" s="53">
        <f>IF(17&gt;=22,1,IF(17&gt;=6,(MIN(17,21)-5)*0.06+IF(17&gt;=22,0.04,0),0))</f>
        <v/>
      </c>
      <c r="F19" s="53">
        <f>IF(18&gt;=22,1,IF(18&gt;=6,(MIN(18,21)-5)*0.06+IF(18&gt;=22,0.04,0),0))</f>
        <v/>
      </c>
      <c r="G19" s="53">
        <f>IF(19&gt;=22,1,IF(19&gt;=6,(MIN(19,21)-5)*0.06+IF(19&gt;=22,0.04,0),0))</f>
        <v/>
      </c>
      <c r="H19" s="53">
        <f>IF(20&gt;=22,1,IF(20&gt;=6,(MIN(20,21)-5)*0.06+IF(20&gt;=22,0.04,0),0))</f>
        <v/>
      </c>
      <c r="I19" s="53">
        <f>IF(21&gt;=22,1,IF(21&gt;=6,(MIN(21,21)-5)*0.06+IF(21&gt;=22,0.04,0),0))</f>
        <v/>
      </c>
      <c r="J19" s="53">
        <f>IF(22&gt;=22,1,IF(22&gt;=6,(MIN(22,21)-5)*0.06+IF(22&gt;=22,0.04,0),0))</f>
        <v/>
      </c>
      <c r="K19" s="53">
        <f>IF(23&gt;=22,1,IF(23&gt;=6,(MIN(23,21)-5)*0.06+IF(23&gt;=22,0.04,0),0))</f>
        <v/>
      </c>
      <c r="L19" s="53">
        <f>IF(24&gt;=22,1,IF(24&gt;=6,(MIN(24,21)-5)*0.06+IF(24&gt;=22,0.04,0),0))</f>
        <v/>
      </c>
      <c r="M19" s="53">
        <f>IF(25&gt;=22,1,IF(25&gt;=6,(MIN(25,21)-5)*0.06+IF(25&gt;=22,0.04,0),0))</f>
        <v/>
      </c>
      <c r="N19" s="53">
        <f>IF(26&gt;=22,1,IF(26&gt;=6,(MIN(26,21)-5)*0.06+IF(26&gt;=22,0.04,0),0))</f>
        <v/>
      </c>
      <c r="O19" s="53">
        <f>IF(27&gt;=22,1,IF(27&gt;=6,(MIN(27,21)-5)*0.06+IF(27&gt;=22,0.04,0),0))</f>
        <v/>
      </c>
      <c r="P19" s="53">
        <f>IF(28&gt;=22,1,IF(28&gt;=6,(MIN(28,21)-5)*0.06+IF(28&gt;=22,0.04,0),0))</f>
        <v/>
      </c>
      <c r="Q19" s="53">
        <f>IF(29&gt;=22,1,IF(29&gt;=6,(MIN(29,21)-5)*0.06+IF(29&gt;=22,0.04,0),0))</f>
        <v/>
      </c>
      <c r="R19" s="53">
        <f>IF(30&gt;=22,1,IF(30&gt;=6,(MIN(30,21)-5)*0.06+IF(30&gt;=22,0.04,0),0))</f>
        <v/>
      </c>
    </row>
    <row r="20">
      <c r="A20" s="52" t="inlineStr">
        <is>
          <t>Base imposable IR</t>
        </is>
      </c>
      <c r="B20" s="38">
        <f>$B$5*(1-B19)</f>
        <v/>
      </c>
      <c r="C20" s="38">
        <f>$B$5*(1-C19)</f>
        <v/>
      </c>
      <c r="D20" s="38">
        <f>$B$5*(1-D19)</f>
        <v/>
      </c>
      <c r="E20" s="38">
        <f>$B$5*(1-E19)</f>
        <v/>
      </c>
      <c r="F20" s="38">
        <f>$B$5*(1-F19)</f>
        <v/>
      </c>
      <c r="G20" s="38">
        <f>$B$5*(1-G19)</f>
        <v/>
      </c>
      <c r="H20" s="38">
        <f>$B$5*(1-H19)</f>
        <v/>
      </c>
      <c r="I20" s="38">
        <f>$B$5*(1-I19)</f>
        <v/>
      </c>
      <c r="J20" s="38">
        <f>$B$5*(1-J19)</f>
        <v/>
      </c>
      <c r="K20" s="38">
        <f>$B$5*(1-K19)</f>
        <v/>
      </c>
      <c r="L20" s="38">
        <f>$B$5*(1-L19)</f>
        <v/>
      </c>
      <c r="M20" s="38">
        <f>$B$5*(1-M19)</f>
        <v/>
      </c>
      <c r="N20" s="38">
        <f>$B$5*(1-N19)</f>
        <v/>
      </c>
      <c r="O20" s="38">
        <f>$B$5*(1-O19)</f>
        <v/>
      </c>
      <c r="P20" s="38">
        <f>$B$5*(1-P19)</f>
        <v/>
      </c>
      <c r="Q20" s="38">
        <f>$B$5*(1-Q19)</f>
        <v/>
      </c>
      <c r="R20" s="38">
        <f>$B$5*(1-R19)</f>
        <v/>
      </c>
    </row>
    <row r="21">
      <c r="A21" s="52" t="inlineStr">
        <is>
          <t>IR (19 %)</t>
        </is>
      </c>
      <c r="B21" s="38">
        <f>B20*0.19</f>
        <v/>
      </c>
      <c r="C21" s="38">
        <f>C20*0.19</f>
        <v/>
      </c>
      <c r="D21" s="38">
        <f>D20*0.19</f>
        <v/>
      </c>
      <c r="E21" s="38">
        <f>E20*0.19</f>
        <v/>
      </c>
      <c r="F21" s="38">
        <f>F20*0.19</f>
        <v/>
      </c>
      <c r="G21" s="38">
        <f>G20*0.19</f>
        <v/>
      </c>
      <c r="H21" s="38">
        <f>H20*0.19</f>
        <v/>
      </c>
      <c r="I21" s="38">
        <f>I20*0.19</f>
        <v/>
      </c>
      <c r="J21" s="38">
        <f>J20*0.19</f>
        <v/>
      </c>
      <c r="K21" s="38">
        <f>K20*0.19</f>
        <v/>
      </c>
      <c r="L21" s="38">
        <f>L20*0.19</f>
        <v/>
      </c>
      <c r="M21" s="38">
        <f>M20*0.19</f>
        <v/>
      </c>
      <c r="N21" s="38">
        <f>N20*0.19</f>
        <v/>
      </c>
      <c r="O21" s="38">
        <f>O20*0.19</f>
        <v/>
      </c>
      <c r="P21" s="38">
        <f>P20*0.19</f>
        <v/>
      </c>
      <c r="Q21" s="38">
        <f>Q20*0.19</f>
        <v/>
      </c>
      <c r="R21" s="38">
        <f>R20*0.19</f>
        <v/>
      </c>
    </row>
    <row r="22">
      <c r="A22" s="52" t="inlineStr">
        <is>
          <t>Abattement prélèv. sociaux</t>
        </is>
      </c>
      <c r="B22" s="53">
        <f>IF(14&gt;=30,1,IF(14&gt;=23,(21-5)*0.0165+0.016+(MIN(14,30)-22)*0.09,IF(14&gt;=22,(21-5)*0.0165+0.016,IF(14&gt;=6,(MIN(14,21)-5)*0.0165,0))))</f>
        <v/>
      </c>
      <c r="C22" s="53">
        <f>IF(15&gt;=30,1,IF(15&gt;=23,(21-5)*0.0165+0.016+(MIN(15,30)-22)*0.09,IF(15&gt;=22,(21-5)*0.0165+0.016,IF(15&gt;=6,(MIN(15,21)-5)*0.0165,0))))</f>
        <v/>
      </c>
      <c r="D22" s="53">
        <f>IF(16&gt;=30,1,IF(16&gt;=23,(21-5)*0.0165+0.016+(MIN(16,30)-22)*0.09,IF(16&gt;=22,(21-5)*0.0165+0.016,IF(16&gt;=6,(MIN(16,21)-5)*0.0165,0))))</f>
        <v/>
      </c>
      <c r="E22" s="53">
        <f>IF(17&gt;=30,1,IF(17&gt;=23,(21-5)*0.0165+0.016+(MIN(17,30)-22)*0.09,IF(17&gt;=22,(21-5)*0.0165+0.016,IF(17&gt;=6,(MIN(17,21)-5)*0.0165,0))))</f>
        <v/>
      </c>
      <c r="F22" s="53">
        <f>IF(18&gt;=30,1,IF(18&gt;=23,(21-5)*0.0165+0.016+(MIN(18,30)-22)*0.09,IF(18&gt;=22,(21-5)*0.0165+0.016,IF(18&gt;=6,(MIN(18,21)-5)*0.0165,0))))</f>
        <v/>
      </c>
      <c r="G22" s="53">
        <f>IF(19&gt;=30,1,IF(19&gt;=23,(21-5)*0.0165+0.016+(MIN(19,30)-22)*0.09,IF(19&gt;=22,(21-5)*0.0165+0.016,IF(19&gt;=6,(MIN(19,21)-5)*0.0165,0))))</f>
        <v/>
      </c>
      <c r="H22" s="53">
        <f>IF(20&gt;=30,1,IF(20&gt;=23,(21-5)*0.0165+0.016+(MIN(20,30)-22)*0.09,IF(20&gt;=22,(21-5)*0.0165+0.016,IF(20&gt;=6,(MIN(20,21)-5)*0.0165,0))))</f>
        <v/>
      </c>
      <c r="I22" s="53">
        <f>IF(21&gt;=30,1,IF(21&gt;=23,(21-5)*0.0165+0.016+(MIN(21,30)-22)*0.09,IF(21&gt;=22,(21-5)*0.0165+0.016,IF(21&gt;=6,(MIN(21,21)-5)*0.0165,0))))</f>
        <v/>
      </c>
      <c r="J22" s="53">
        <f>IF(22&gt;=30,1,IF(22&gt;=23,(21-5)*0.0165+0.016+(MIN(22,30)-22)*0.09,IF(22&gt;=22,(21-5)*0.0165+0.016,IF(22&gt;=6,(MIN(22,21)-5)*0.0165,0))))</f>
        <v/>
      </c>
      <c r="K22" s="53">
        <f>IF(23&gt;=30,1,IF(23&gt;=23,(21-5)*0.0165+0.016+(MIN(23,30)-22)*0.09,IF(23&gt;=22,(21-5)*0.0165+0.016,IF(23&gt;=6,(MIN(23,21)-5)*0.0165,0))))</f>
        <v/>
      </c>
      <c r="L22" s="53">
        <f>IF(24&gt;=30,1,IF(24&gt;=23,(21-5)*0.0165+0.016+(MIN(24,30)-22)*0.09,IF(24&gt;=22,(21-5)*0.0165+0.016,IF(24&gt;=6,(MIN(24,21)-5)*0.0165,0))))</f>
        <v/>
      </c>
      <c r="M22" s="53">
        <f>IF(25&gt;=30,1,IF(25&gt;=23,(21-5)*0.0165+0.016+(MIN(25,30)-22)*0.09,IF(25&gt;=22,(21-5)*0.0165+0.016,IF(25&gt;=6,(MIN(25,21)-5)*0.0165,0))))</f>
        <v/>
      </c>
      <c r="N22" s="53">
        <f>IF(26&gt;=30,1,IF(26&gt;=23,(21-5)*0.0165+0.016+(MIN(26,30)-22)*0.09,IF(26&gt;=22,(21-5)*0.0165+0.016,IF(26&gt;=6,(MIN(26,21)-5)*0.0165,0))))</f>
        <v/>
      </c>
      <c r="O22" s="53">
        <f>IF(27&gt;=30,1,IF(27&gt;=23,(21-5)*0.0165+0.016+(MIN(27,30)-22)*0.09,IF(27&gt;=22,(21-5)*0.0165+0.016,IF(27&gt;=6,(MIN(27,21)-5)*0.0165,0))))</f>
        <v/>
      </c>
      <c r="P22" s="53">
        <f>IF(28&gt;=30,1,IF(28&gt;=23,(21-5)*0.0165+0.016+(MIN(28,30)-22)*0.09,IF(28&gt;=22,(21-5)*0.0165+0.016,IF(28&gt;=6,(MIN(28,21)-5)*0.0165,0))))</f>
        <v/>
      </c>
      <c r="Q22" s="53">
        <f>IF(29&gt;=30,1,IF(29&gt;=23,(21-5)*0.0165+0.016+(MIN(29,30)-22)*0.09,IF(29&gt;=22,(21-5)*0.0165+0.016,IF(29&gt;=6,(MIN(29,21)-5)*0.0165,0))))</f>
        <v/>
      </c>
      <c r="R22" s="53">
        <f>IF(30&gt;=30,1,IF(30&gt;=23,(21-5)*0.0165+0.016+(MIN(30,30)-22)*0.09,IF(30&gt;=22,(21-5)*0.0165+0.016,IF(30&gt;=6,(MIN(30,21)-5)*0.0165,0))))</f>
        <v/>
      </c>
    </row>
    <row r="23">
      <c r="A23" s="52" t="inlineStr">
        <is>
          <t>Base imposable PS</t>
        </is>
      </c>
      <c r="B23" s="38">
        <f>$B$5*(1-B22)</f>
        <v/>
      </c>
      <c r="C23" s="38">
        <f>$B$5*(1-C22)</f>
        <v/>
      </c>
      <c r="D23" s="38">
        <f>$B$5*(1-D22)</f>
        <v/>
      </c>
      <c r="E23" s="38">
        <f>$B$5*(1-E22)</f>
        <v/>
      </c>
      <c r="F23" s="38">
        <f>$B$5*(1-F22)</f>
        <v/>
      </c>
      <c r="G23" s="38">
        <f>$B$5*(1-G22)</f>
        <v/>
      </c>
      <c r="H23" s="38">
        <f>$B$5*(1-H22)</f>
        <v/>
      </c>
      <c r="I23" s="38">
        <f>$B$5*(1-I22)</f>
        <v/>
      </c>
      <c r="J23" s="38">
        <f>$B$5*(1-J22)</f>
        <v/>
      </c>
      <c r="K23" s="38">
        <f>$B$5*(1-K22)</f>
        <v/>
      </c>
      <c r="L23" s="38">
        <f>$B$5*(1-L22)</f>
        <v/>
      </c>
      <c r="M23" s="38">
        <f>$B$5*(1-M22)</f>
        <v/>
      </c>
      <c r="N23" s="38">
        <f>$B$5*(1-N22)</f>
        <v/>
      </c>
      <c r="O23" s="38">
        <f>$B$5*(1-O22)</f>
        <v/>
      </c>
      <c r="P23" s="38">
        <f>$B$5*(1-P22)</f>
        <v/>
      </c>
      <c r="Q23" s="38">
        <f>$B$5*(1-Q22)</f>
        <v/>
      </c>
      <c r="R23" s="38">
        <f>$B$5*(1-R22)</f>
        <v/>
      </c>
    </row>
    <row r="24">
      <c r="A24" s="52" t="inlineStr">
        <is>
          <t>Prélèvements sociaux (17,2 %)</t>
        </is>
      </c>
      <c r="B24" s="38">
        <f>B23*0.172</f>
        <v/>
      </c>
      <c r="C24" s="38">
        <f>C23*0.172</f>
        <v/>
      </c>
      <c r="D24" s="38">
        <f>D23*0.172</f>
        <v/>
      </c>
      <c r="E24" s="38">
        <f>E23*0.172</f>
        <v/>
      </c>
      <c r="F24" s="38">
        <f>F23*0.172</f>
        <v/>
      </c>
      <c r="G24" s="38">
        <f>G23*0.172</f>
        <v/>
      </c>
      <c r="H24" s="38">
        <f>H23*0.172</f>
        <v/>
      </c>
      <c r="I24" s="38">
        <f>I23*0.172</f>
        <v/>
      </c>
      <c r="J24" s="38">
        <f>J23*0.172</f>
        <v/>
      </c>
      <c r="K24" s="38">
        <f>K23*0.172</f>
        <v/>
      </c>
      <c r="L24" s="38">
        <f>L23*0.172</f>
        <v/>
      </c>
      <c r="M24" s="38">
        <f>M23*0.172</f>
        <v/>
      </c>
      <c r="N24" s="38">
        <f>N23*0.172</f>
        <v/>
      </c>
      <c r="O24" s="38">
        <f>O23*0.172</f>
        <v/>
      </c>
      <c r="P24" s="38">
        <f>P23*0.172</f>
        <v/>
      </c>
      <c r="Q24" s="38">
        <f>Q23*0.172</f>
        <v/>
      </c>
      <c r="R24" s="38">
        <f>R23*0.172</f>
        <v/>
      </c>
    </row>
    <row r="25">
      <c r="A25" s="54" t="inlineStr">
        <is>
          <t>Impôt total plus-value</t>
        </is>
      </c>
      <c r="B25" s="55">
        <f>B21+B24</f>
        <v/>
      </c>
      <c r="C25" s="55">
        <f>C21+C24</f>
        <v/>
      </c>
      <c r="D25" s="55">
        <f>D21+D24</f>
        <v/>
      </c>
      <c r="E25" s="55">
        <f>E21+E24</f>
        <v/>
      </c>
      <c r="F25" s="55">
        <f>F21+F24</f>
        <v/>
      </c>
      <c r="G25" s="55">
        <f>G21+G24</f>
        <v/>
      </c>
      <c r="H25" s="55">
        <f>H21+H24</f>
        <v/>
      </c>
      <c r="I25" s="55">
        <f>I21+I24</f>
        <v/>
      </c>
      <c r="J25" s="55">
        <f>J21+J24</f>
        <v/>
      </c>
      <c r="K25" s="55">
        <f>K21+K24</f>
        <v/>
      </c>
      <c r="L25" s="55">
        <f>L21+L24</f>
        <v/>
      </c>
      <c r="M25" s="55">
        <f>M21+M24</f>
        <v/>
      </c>
      <c r="N25" s="55">
        <f>N21+N24</f>
        <v/>
      </c>
      <c r="O25" s="55">
        <f>O21+O24</f>
        <v/>
      </c>
      <c r="P25" s="55">
        <f>P21+P24</f>
        <v/>
      </c>
      <c r="Q25" s="55">
        <f>Q21+Q24</f>
        <v/>
      </c>
      <c r="R25" s="55">
        <f>R21+R24</f>
        <v/>
      </c>
    </row>
    <row r="26">
      <c r="A26" s="54" t="inlineStr">
        <is>
          <t>Plus-value nette après impôt</t>
        </is>
      </c>
      <c r="B26" s="55">
        <f>$B$5-B25</f>
        <v/>
      </c>
      <c r="C26" s="55">
        <f>$B$5-C25</f>
        <v/>
      </c>
      <c r="D26" s="55">
        <f>$B$5-D25</f>
        <v/>
      </c>
      <c r="E26" s="55">
        <f>$B$5-E25</f>
        <v/>
      </c>
      <c r="F26" s="55">
        <f>$B$5-F25</f>
        <v/>
      </c>
      <c r="G26" s="55">
        <f>$B$5-G25</f>
        <v/>
      </c>
      <c r="H26" s="55">
        <f>$B$5-H25</f>
        <v/>
      </c>
      <c r="I26" s="55">
        <f>$B$5-I25</f>
        <v/>
      </c>
      <c r="J26" s="55">
        <f>$B$5-J25</f>
        <v/>
      </c>
      <c r="K26" s="55">
        <f>$B$5-K25</f>
        <v/>
      </c>
      <c r="L26" s="55">
        <f>$B$5-L25</f>
        <v/>
      </c>
      <c r="M26" s="55">
        <f>$B$5-M25</f>
        <v/>
      </c>
      <c r="N26" s="55">
        <f>$B$5-N25</f>
        <v/>
      </c>
      <c r="O26" s="55">
        <f>$B$5-O25</f>
        <v/>
      </c>
      <c r="P26" s="55">
        <f>$B$5-P25</f>
        <v/>
      </c>
      <c r="Q26" s="55">
        <f>$B$5-Q25</f>
        <v/>
      </c>
      <c r="R26" s="55">
        <f>$B$5-R25</f>
        <v/>
      </c>
    </row>
    <row r="28">
      <c r="A28" s="56" t="inlineStr">
        <is>
          <t>→ Impôt sur la plus-value à l'horizon retenu</t>
        </is>
      </c>
      <c r="B28" s="57">
        <f>IF(horizon&lt;=13,INDEX(B15:N15,horizon),INDEX(B25:R25,horizon-13))</f>
        <v/>
      </c>
    </row>
  </sheetData>
  <mergeCells count="3">
    <mergeCell ref="A2:N2"/>
    <mergeCell ref="B7:N7"/>
    <mergeCell ref="A1:N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2:E26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0" customWidth="1" min="2" max="2"/>
    <col width="16" customWidth="1" min="3" max="3"/>
    <col width="16" customWidth="1" min="4" max="4"/>
    <col width="40" customWidth="1" min="5" max="5"/>
  </cols>
  <sheetData>
    <row r="2" ht="30" customHeight="1">
      <c r="A2" s="1" t="inlineStr">
        <is>
          <t xml:space="preserve">  Barèmes &amp; paramètres fiscaux de référence</t>
        </is>
      </c>
    </row>
    <row r="3" ht="18" customHeight="1">
      <c r="A3" s="2" t="inlineStr">
        <is>
          <t>Valeurs 2026 indicatives — à vérifier et mettre à jour</t>
        </is>
      </c>
    </row>
    <row r="5" ht="22" customHeight="1">
      <c r="B5" s="12" t="inlineStr">
        <is>
          <t>Barème de l'impôt sur le revenu (par part)</t>
        </is>
      </c>
    </row>
    <row r="6">
      <c r="B6" s="58" t="inlineStr">
        <is>
          <t>Tranche de</t>
        </is>
      </c>
      <c r="C6" s="58" t="inlineStr">
        <is>
          <t>Tranche à</t>
        </is>
      </c>
      <c r="D6" s="58" t="inlineStr">
        <is>
          <t>Taux</t>
        </is>
      </c>
    </row>
    <row r="7">
      <c r="B7" s="59" t="n">
        <v>0</v>
      </c>
      <c r="C7" s="59" t="n">
        <v>11497</v>
      </c>
      <c r="D7" s="60" t="n">
        <v>0</v>
      </c>
    </row>
    <row r="8">
      <c r="B8" s="59" t="n">
        <v>11498</v>
      </c>
      <c r="C8" s="59" t="n">
        <v>29315</v>
      </c>
      <c r="D8" s="60" t="n">
        <v>0.11</v>
      </c>
    </row>
    <row r="9">
      <c r="B9" s="59" t="n">
        <v>29316</v>
      </c>
      <c r="C9" s="59" t="n">
        <v>83823</v>
      </c>
      <c r="D9" s="60" t="n">
        <v>0.3</v>
      </c>
    </row>
    <row r="10">
      <c r="B10" s="59" t="n">
        <v>83824</v>
      </c>
      <c r="C10" s="59" t="n">
        <v>180294</v>
      </c>
      <c r="D10" s="60" t="n">
        <v>0.41</v>
      </c>
    </row>
    <row r="11">
      <c r="B11" s="59" t="n">
        <v>180295</v>
      </c>
      <c r="C11" s="61" t="inlineStr">
        <is>
          <t>et +</t>
        </is>
      </c>
      <c r="D11" s="60" t="n">
        <v>0.45</v>
      </c>
    </row>
    <row r="13" ht="22" customHeight="1">
      <c r="B13" s="12" t="inlineStr">
        <is>
          <t>Plus-value immobilière — abattements</t>
        </is>
      </c>
    </row>
    <row r="14">
      <c r="B14" s="52" t="inlineStr">
        <is>
          <t>Taux IR plus-value</t>
        </is>
      </c>
      <c r="C14" s="62" t="inlineStr">
        <is>
          <t>19 %</t>
        </is>
      </c>
    </row>
    <row r="15">
      <c r="B15" s="52" t="inlineStr">
        <is>
          <t>Prélèvements sociaux</t>
        </is>
      </c>
      <c r="C15" s="62" t="inlineStr">
        <is>
          <t>17,2 %</t>
        </is>
      </c>
    </row>
    <row r="16">
      <c r="B16" s="52" t="inlineStr">
        <is>
          <t>Abattement IR : 6 %/an de la 6ᵉ à la 21ᵉ année, 4 % la 22ᵉ → exonération à 22 ans</t>
        </is>
      </c>
      <c r="C16" s="62" t="inlineStr"/>
    </row>
    <row r="17">
      <c r="B17" s="52" t="inlineStr">
        <is>
          <t>Abattement PS : 1,65 %/an (6→21), 1,60 % (22ᵉ), 9 %/an (23→30) → exonération à 30 ans</t>
        </is>
      </c>
      <c r="C17" s="62" t="inlineStr"/>
    </row>
    <row r="18">
      <c r="B18" s="52" t="inlineStr">
        <is>
          <t>Forfait travaux : 15 % du prix si détention &gt; 5 ans</t>
        </is>
      </c>
      <c r="C18" s="62" t="inlineStr"/>
    </row>
    <row r="19">
      <c r="B19" s="52" t="inlineStr">
        <is>
          <t>Forfait frais d'acquisition : 7,5 % du prix</t>
        </is>
      </c>
      <c r="C19" s="62" t="inlineStr"/>
    </row>
    <row r="21" ht="22" customHeight="1">
      <c r="B21" s="12" t="inlineStr">
        <is>
          <t>Seuils des régimes</t>
        </is>
      </c>
    </row>
    <row r="22">
      <c r="B22" s="52" t="inlineStr">
        <is>
          <t>Micro-foncier (nu) — plafond loyers/an</t>
        </is>
      </c>
      <c r="C22" s="62" t="inlineStr">
        <is>
          <t>15 000 €</t>
        </is>
      </c>
    </row>
    <row r="23">
      <c r="B23" s="52" t="inlineStr">
        <is>
          <t>Micro-foncier — abattement</t>
        </is>
      </c>
      <c r="C23" s="62" t="inlineStr">
        <is>
          <t>30 %</t>
        </is>
      </c>
    </row>
    <row r="24">
      <c r="B24" s="52" t="inlineStr">
        <is>
          <t>Micro-BIC (meublé) — plafond loyers/an</t>
        </is>
      </c>
      <c r="C24" s="62" t="inlineStr">
        <is>
          <t>77 700 €</t>
        </is>
      </c>
    </row>
    <row r="25">
      <c r="B25" s="52" t="inlineStr">
        <is>
          <t>Micro-BIC — abattement</t>
        </is>
      </c>
      <c r="C25" s="62" t="inlineStr">
        <is>
          <t>50 %</t>
        </is>
      </c>
    </row>
    <row r="26">
      <c r="B26" s="52" t="inlineStr">
        <is>
          <t>Déficit foncier imputable sur revenu global/an</t>
        </is>
      </c>
      <c r="C26" s="62" t="inlineStr">
        <is>
          <t>10 700 €</t>
        </is>
      </c>
    </row>
  </sheetData>
  <mergeCells count="5">
    <mergeCell ref="A2:E2"/>
    <mergeCell ref="B13:E13"/>
    <mergeCell ref="B21:E21"/>
    <mergeCell ref="B5:E5"/>
    <mergeCell ref="A3:E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2:C1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4" customWidth="1" min="2" max="2"/>
    <col width="80" customWidth="1" min="3" max="3"/>
  </cols>
  <sheetData>
    <row r="2" ht="30" customHeight="1">
      <c r="A2" s="1" t="inlineStr">
        <is>
          <t xml:space="preserve">  Glossaire des indicateurs</t>
        </is>
      </c>
    </row>
    <row r="5" ht="34" customHeight="1">
      <c r="B5" s="63" t="inlineStr">
        <is>
          <t>Rendement brut</t>
        </is>
      </c>
      <c r="C5" s="64" t="inlineStr">
        <is>
          <t>Loyer annuel hors charges ÷ coût total de l'opération. Indicateur de première sélection, ignore charges et fiscalité.</t>
        </is>
      </c>
    </row>
    <row r="6" ht="34" customHeight="1">
      <c r="B6" s="63" t="inlineStr">
        <is>
          <t>Rendement net de charges</t>
        </is>
      </c>
      <c r="C6" s="64" t="inlineStr">
        <is>
          <t>(Loyers − charges d'exploitation) ÷ coût total. Reflète la rentabilité réelle hors impôt.</t>
        </is>
      </c>
    </row>
    <row r="7" ht="34" customHeight="1">
      <c r="B7" s="63" t="inlineStr">
        <is>
          <t>Rendement net-net</t>
        </is>
      </c>
      <c r="C7" s="64" t="inlineStr">
        <is>
          <t>Rendement net après impôt et prélèvements sociaux. L'indicateur le plus fidèle.</t>
        </is>
      </c>
    </row>
    <row r="8" ht="34" customHeight="1">
      <c r="B8" s="63" t="inlineStr">
        <is>
          <t>Cash-flow</t>
        </is>
      </c>
      <c r="C8" s="64" t="inlineStr">
        <is>
          <t>Trésorerie réelle : loyers encaissés − charges − mensualités (− impôt pour le cash-flow après impôt).</t>
        </is>
      </c>
    </row>
    <row r="9" ht="34" customHeight="1">
      <c r="B9" s="63" t="inlineStr">
        <is>
          <t>Effort d'épargne</t>
        </is>
      </c>
      <c r="C9" s="64" t="inlineStr">
        <is>
          <t>Montant que l'investisseur sort de sa poche chaque mois quand le cash-flow est négatif.</t>
        </is>
      </c>
    </row>
    <row r="10" ht="34" customHeight="1">
      <c r="B10" s="63" t="inlineStr">
        <is>
          <t>TRI</t>
        </is>
      </c>
      <c r="C10" s="64" t="inlineStr">
        <is>
          <t>Taux de rendement interne : taux qui annule la valeur actuelle nette de tous les flux (apport, cash-flows, revente). Permet de comparer des projets de durées différentes.</t>
        </is>
      </c>
    </row>
    <row r="11" ht="34" customHeight="1">
      <c r="B11" s="63" t="inlineStr">
        <is>
          <t>LMNP réel</t>
        </is>
      </c>
      <c r="C11" s="64" t="inlineStr">
        <is>
          <t>Location meublée non professionnelle au régime réel : déduction des charges ET amortissement du bien, du mobilier et des travaux — efface souvent l'impôt pendant 10-15 ans.</t>
        </is>
      </c>
    </row>
    <row r="12" ht="34" customHeight="1">
      <c r="B12" s="63" t="inlineStr">
        <is>
          <t>Déficit foncier</t>
        </is>
      </c>
      <c r="C12" s="64" t="inlineStr">
        <is>
          <t>En location nue au réel, charges + intérêts &gt; loyers : le déficit s'impute sur le revenu global jusqu'à 10 700 €/an, le reste se reporte.</t>
        </is>
      </c>
    </row>
    <row r="13" ht="34" customHeight="1">
      <c r="B13" s="63" t="inlineStr">
        <is>
          <t>Plus-value</t>
        </is>
      </c>
      <c r="C13" s="64" t="inlineStr">
        <is>
          <t>Différence entre prix de revente et prix d'acquisition corrigé, imposée à 19 % + 17,2 % avec abattements selon la durée de détention.</t>
        </is>
      </c>
    </row>
    <row r="14" ht="34" customHeight="1">
      <c r="B14" s="63" t="inlineStr">
        <is>
          <t>Vacance locative</t>
        </is>
      </c>
      <c r="C14" s="64" t="inlineStr">
        <is>
          <t>Période sans locataire ; réduit les loyers encaissés. Prévoir 3 à 8 % selon la tension du marché.</t>
        </is>
      </c>
    </row>
  </sheetData>
  <mergeCells count="1"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2026-06-22T09:57:20Z</dcterms:created>
  <dcterms:modified xsi:type="dcterms:W3CDTF">2026-06-22T09:57:20Z</dcterms:modified>
</cp:coreProperties>
</file>